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815" yWindow="0" windowWidth="11910" windowHeight="9255" tabRatio="80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Domiciliar'!$A$1:$F$262</definedName>
    <definedName name="_xlnm.Print_Area" localSheetId="1">'2.Encargos Sociais'!$A$1:$C$36</definedName>
    <definedName name="_xlnm.Print_Titles" localSheetId="0">'1. Coleta Domiciliar'!$1:$6</definedName>
  </definedNames>
  <calcPr calcId="144525"/>
</workbook>
</file>

<file path=xl/calcChain.xml><?xml version="1.0" encoding="utf-8"?>
<calcChain xmlns="http://schemas.openxmlformats.org/spreadsheetml/2006/main">
  <c r="E201" i="2" l="1"/>
  <c r="D84" i="2" l="1"/>
  <c r="D64" i="2"/>
  <c r="E77" i="2" l="1"/>
  <c r="D51" i="2" l="1"/>
  <c r="C138" i="2"/>
  <c r="C133" i="2"/>
  <c r="C76" i="2" l="1"/>
  <c r="E76" i="2" s="1"/>
  <c r="C77" i="2"/>
  <c r="A84" i="2" l="1"/>
  <c r="D162" i="2" l="1"/>
  <c r="A28" i="2"/>
  <c r="F202" i="2" l="1"/>
  <c r="E27" i="2" s="1"/>
  <c r="E58" i="2" l="1"/>
  <c r="C162" i="2" l="1"/>
  <c r="C161" i="2"/>
  <c r="C163" i="2"/>
  <c r="A30" i="2" l="1"/>
  <c r="A29" i="2"/>
  <c r="A19" i="2"/>
  <c r="A18" i="2"/>
  <c r="A13" i="2"/>
  <c r="C18" i="9" l="1"/>
  <c r="C10" i="9"/>
  <c r="C11" i="9" s="1"/>
  <c r="C12" i="9" l="1"/>
  <c r="C14" i="9"/>
  <c r="C19" i="9" s="1"/>
  <c r="C21" i="9" s="1"/>
  <c r="E37" i="2" l="1"/>
  <c r="E36" i="2"/>
  <c r="E41" i="2"/>
  <c r="C151" i="2" l="1"/>
  <c r="D181" i="2"/>
  <c r="D179" i="2"/>
  <c r="D177" i="2"/>
  <c r="D175" i="2"/>
  <c r="D111" i="2" l="1"/>
  <c r="E111" i="2" s="1"/>
  <c r="E95" i="2"/>
  <c r="E96" i="2"/>
  <c r="E97" i="2"/>
  <c r="E98" i="2"/>
  <c r="E99" i="2"/>
  <c r="E100" i="2"/>
  <c r="E101" i="2"/>
  <c r="E102" i="2"/>
  <c r="E103" i="2"/>
  <c r="E94" i="2"/>
  <c r="E51" i="2" l="1"/>
  <c r="D52" i="2" s="1"/>
  <c r="E64" i="2"/>
  <c r="E52" i="2" l="1"/>
  <c r="D65" i="2"/>
  <c r="E65" i="2" s="1"/>
  <c r="C196" i="2" l="1"/>
  <c r="A26" i="2"/>
  <c r="A25" i="2"/>
  <c r="A24" i="2"/>
  <c r="A23" i="2"/>
  <c r="A22" i="2"/>
  <c r="A21" i="2"/>
  <c r="A20" i="2"/>
  <c r="A17" i="2"/>
  <c r="A16" i="2"/>
  <c r="A15" i="2"/>
  <c r="A14" i="2"/>
  <c r="C17" i="8"/>
  <c r="E225" i="2"/>
  <c r="E165" i="2"/>
  <c r="E157" i="2"/>
  <c r="E141" i="2"/>
  <c r="E119" i="2"/>
  <c r="E106" i="2"/>
  <c r="E85" i="2"/>
  <c r="E72" i="2"/>
  <c r="D145" i="2"/>
  <c r="C13" i="4"/>
  <c r="C18" i="4" s="1"/>
  <c r="C234" i="2" s="1"/>
  <c r="F11" i="4"/>
  <c r="E11" i="4"/>
  <c r="D11" i="4"/>
  <c r="C14" i="8"/>
  <c r="C34" i="5"/>
  <c r="C29" i="5"/>
  <c r="C28" i="8" s="1"/>
  <c r="C28" i="5"/>
  <c r="E62" i="2"/>
  <c r="D67" i="2" s="1"/>
  <c r="E67" i="2" s="1"/>
  <c r="C194" i="2"/>
  <c r="E194" i="2" s="1"/>
  <c r="C173" i="2"/>
  <c r="C175" i="2" s="1"/>
  <c r="E175" i="2" s="1"/>
  <c r="D173" i="2"/>
  <c r="D182" i="2" s="1"/>
  <c r="E129" i="2"/>
  <c r="D150" i="2"/>
  <c r="C221" i="2"/>
  <c r="C223" i="2" s="1"/>
  <c r="E223" i="2" s="1"/>
  <c r="D224" i="2" s="1"/>
  <c r="E224" i="2" s="1"/>
  <c r="C134" i="2"/>
  <c r="C150" i="2" s="1"/>
  <c r="A36" i="2"/>
  <c r="A37" i="2"/>
  <c r="A41" i="2"/>
  <c r="E50" i="2"/>
  <c r="D53" i="2" s="1"/>
  <c r="A83" i="2"/>
  <c r="E104" i="2"/>
  <c r="D112" i="2"/>
  <c r="E112" i="2" s="1"/>
  <c r="D113" i="2"/>
  <c r="E113" i="2" s="1"/>
  <c r="D114" i="2"/>
  <c r="E114" i="2" s="1"/>
  <c r="D115" i="2"/>
  <c r="E115" i="2" s="1"/>
  <c r="D116" i="2"/>
  <c r="E116" i="2" s="1"/>
  <c r="E117" i="2"/>
  <c r="E192" i="2"/>
  <c r="E163" i="2"/>
  <c r="E162" i="2"/>
  <c r="E209" i="2"/>
  <c r="E212" i="2"/>
  <c r="E213" i="2"/>
  <c r="E210" i="2"/>
  <c r="E211" i="2"/>
  <c r="E68" i="2" l="1"/>
  <c r="D132" i="2"/>
  <c r="E132" i="2" s="1"/>
  <c r="D161" i="2"/>
  <c r="C27" i="8"/>
  <c r="G28" i="5"/>
  <c r="C39" i="5"/>
  <c r="E37" i="5"/>
  <c r="D37" i="5" s="1"/>
  <c r="D38" i="5" s="1"/>
  <c r="C38" i="5" s="1"/>
  <c r="C24" i="8" s="1"/>
  <c r="C32" i="8" s="1"/>
  <c r="C179" i="2"/>
  <c r="E179" i="2" s="1"/>
  <c r="C181" i="2"/>
  <c r="E181" i="2" s="1"/>
  <c r="F214" i="2"/>
  <c r="F216" i="2" s="1"/>
  <c r="E28" i="2" s="1"/>
  <c r="E173" i="2"/>
  <c r="E134" i="2"/>
  <c r="C152" i="2" s="1"/>
  <c r="D105" i="2"/>
  <c r="E38" i="2"/>
  <c r="E83" i="2"/>
  <c r="E150" i="2"/>
  <c r="E84" i="2"/>
  <c r="E53" i="2"/>
  <c r="E54" i="2" s="1"/>
  <c r="D55" i="2" s="1"/>
  <c r="C177" i="2"/>
  <c r="E177" i="2" s="1"/>
  <c r="C187" i="2"/>
  <c r="E187" i="2" s="1"/>
  <c r="F188" i="2" s="1"/>
  <c r="E25" i="2" s="1"/>
  <c r="E221" i="2"/>
  <c r="D222" i="2" s="1"/>
  <c r="E222" i="2" s="1"/>
  <c r="F225" i="2" s="1"/>
  <c r="F227" i="2" s="1"/>
  <c r="E29" i="2" s="1"/>
  <c r="E145" i="2"/>
  <c r="D195" i="2"/>
  <c r="E195" i="2" s="1"/>
  <c r="D118" i="2"/>
  <c r="D196" i="2" l="1"/>
  <c r="E196" i="2" s="1"/>
  <c r="F197" i="2" s="1"/>
  <c r="E26" i="2" s="1"/>
  <c r="D133" i="2"/>
  <c r="E133" i="2" s="1"/>
  <c r="E161" i="2"/>
  <c r="D164" i="2" s="1"/>
  <c r="E164" i="2" s="1"/>
  <c r="F165" i="2" s="1"/>
  <c r="E23" i="2" s="1"/>
  <c r="C147" i="2"/>
  <c r="C148" i="2" s="1"/>
  <c r="D149" i="2" s="1"/>
  <c r="E149" i="2" s="1"/>
  <c r="C26" i="8"/>
  <c r="C25" i="8"/>
  <c r="K35" i="5"/>
  <c r="K36" i="5" s="1"/>
  <c r="K37" i="5" s="1"/>
  <c r="K38" i="5" s="1"/>
  <c r="K39" i="5" s="1"/>
  <c r="K40" i="5" s="1"/>
  <c r="K41" i="5" s="1"/>
  <c r="C16" i="8"/>
  <c r="C22" i="8" s="1"/>
  <c r="C31" i="8" s="1"/>
  <c r="C33" i="8" s="1"/>
  <c r="F37" i="5"/>
  <c r="G37" i="5" s="1"/>
  <c r="C37" i="5"/>
  <c r="F78" i="2"/>
  <c r="E16" i="2" s="1"/>
  <c r="F85" i="2"/>
  <c r="E118" i="2"/>
  <c r="F119" i="2" s="1"/>
  <c r="E105" i="2"/>
  <c r="F106" i="2" s="1"/>
  <c r="D137" i="2"/>
  <c r="E137" i="2" s="1"/>
  <c r="D138" i="2" s="1"/>
  <c r="E138" i="2" s="1"/>
  <c r="F183" i="2"/>
  <c r="E24" i="2" s="1"/>
  <c r="D69" i="2"/>
  <c r="E17" i="2" l="1"/>
  <c r="C29" i="8"/>
  <c r="C34" i="8" s="1"/>
  <c r="G38" i="5"/>
  <c r="G32" i="5"/>
  <c r="E139" i="2"/>
  <c r="D140" i="2" s="1"/>
  <c r="E140" i="2" s="1"/>
  <c r="C153" i="2"/>
  <c r="D154" i="2" s="1"/>
  <c r="E154" i="2" s="1"/>
  <c r="E155" i="2" s="1"/>
  <c r="D156" i="2" s="1"/>
  <c r="E156" i="2" s="1"/>
  <c r="F157" i="2" s="1"/>
  <c r="F121" i="2"/>
  <c r="E18" i="2" s="1"/>
  <c r="F141" i="2" l="1"/>
  <c r="C69" i="2"/>
  <c r="C55" i="2"/>
  <c r="E55" i="2" s="1"/>
  <c r="E56" i="2" s="1"/>
  <c r="D57" i="2" s="1"/>
  <c r="E22" i="2"/>
  <c r="E57" i="2" l="1"/>
  <c r="F58" i="2" s="1"/>
  <c r="E14" i="2" s="1"/>
  <c r="E21" i="2"/>
  <c r="E20" i="2" s="1"/>
  <c r="F204" i="2"/>
  <c r="E19" i="2" s="1"/>
  <c r="E69" i="2"/>
  <c r="E70" i="2" s="1"/>
  <c r="D71" i="2" s="1"/>
  <c r="E71" i="2" s="1"/>
  <c r="F72" i="2" l="1"/>
  <c r="E15" i="2" l="1"/>
  <c r="F87" i="2"/>
  <c r="F229" i="2" s="1"/>
  <c r="D234" i="2" s="1"/>
  <c r="E234" i="2" s="1"/>
  <c r="F235" i="2" s="1"/>
  <c r="F237" i="2" s="1"/>
  <c r="E30" i="2" s="1"/>
  <c r="E13" i="2" l="1"/>
  <c r="E31" i="2" s="1"/>
  <c r="F27" i="2" s="1"/>
  <c r="F240" i="2"/>
  <c r="F13" i="2" l="1"/>
  <c r="F28" i="2"/>
  <c r="F29" i="2"/>
  <c r="F18" i="2"/>
  <c r="F14" i="2"/>
  <c r="F17" i="2"/>
  <c r="F19" i="2"/>
  <c r="F26" i="2"/>
  <c r="F25" i="2"/>
  <c r="F15" i="2"/>
  <c r="F20" i="2"/>
  <c r="F21" i="2"/>
  <c r="F22" i="2"/>
  <c r="F16" i="2"/>
  <c r="F23" i="2"/>
  <c r="F24" i="2"/>
  <c r="F30" i="2"/>
  <c r="F31" i="2" l="1"/>
</calcChain>
</file>

<file path=xl/comments1.xml><?xml version="1.0" encoding="utf-8"?>
<comments xmlns="http://schemas.openxmlformats.org/spreadsheetml/2006/main">
  <authors>
    <author>Clauber Bridi</author>
  </authors>
  <commentList>
    <comment ref="A11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4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0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1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52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5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57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62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63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64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A65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6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67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69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71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76" author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77" authorId="0">
      <text>
        <r>
          <rPr>
            <sz val="9"/>
            <color indexed="81"/>
            <rFont val="Tahoma"/>
            <family val="2"/>
          </rPr>
          <t>Informar o valor unitário diário do vale refeição conforme Convenção Coletiva da categoria</t>
        </r>
      </text>
    </comment>
    <comment ref="D83" author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D84" authorId="0">
      <text>
        <r>
          <rPr>
            <sz val="9"/>
            <color indexed="81"/>
            <rFont val="Tahoma"/>
            <family val="2"/>
          </rPr>
          <t>Informar o valor mensal do auxilio alimentação conforme Convenção Coletiva da categoria</t>
        </r>
      </text>
    </comment>
    <comment ref="C9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9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9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0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0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04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1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1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17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29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30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31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32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34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35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36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37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0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146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62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163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
</t>
        </r>
      </text>
    </comment>
    <comment ref="B169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172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172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174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174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176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176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178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178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180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180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187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192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192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193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194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195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as recapagens, em km
</t>
        </r>
      </text>
    </comment>
    <comment ref="D201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09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09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0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0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1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1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2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2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13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13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18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21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</t>
        </r>
      </text>
    </comment>
    <comment ref="D223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34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</commentList>
</comments>
</file>

<file path=xl/comments2.xml><?xml version="1.0" encoding="utf-8"?>
<comments xmlns="http://schemas.openxmlformats.org/spreadsheetml/2006/main">
  <authors>
    <author>Jorge Mesquita</author>
  </authors>
  <commentList>
    <comment ref="G37" authorId="0">
      <text>
        <r>
          <rPr>
            <b/>
            <sz val="9"/>
            <color indexed="81"/>
            <rFont val="Tahoma"/>
            <family val="2"/>
          </rPr>
          <t>Jorge Mesquita:</t>
        </r>
        <r>
          <rPr>
            <sz val="9"/>
            <color indexed="81"/>
            <rFont val="Tahoma"/>
            <family val="2"/>
          </rPr>
          <t xml:space="preserve">
Criar um tipo de arredondamento.
</t>
        </r>
      </text>
    </comment>
  </commentList>
</comments>
</file>

<file path=xl/comments3.xml><?xml version="1.0" encoding="utf-8"?>
<comments xmlns="http://schemas.openxmlformats.org/spreadsheetml/2006/main">
  <authors>
    <author>Clauber Bridi</author>
  </authors>
  <commentList>
    <comment ref="C10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5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4.xml><?xml version="1.0" encoding="utf-8"?>
<comments xmlns="http://schemas.openxmlformats.org/spreadsheetml/2006/main">
  <authors>
    <author>cbridi</author>
    <author>Clauber Bridi</author>
    <author>Omar</author>
  </authors>
  <commentList>
    <comment ref="C9" author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0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1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3" authorId="0">
      <text>
        <r>
          <rPr>
            <b/>
            <sz val="8"/>
            <color indexed="81"/>
            <rFont val="Tahoma"/>
            <charset val="1"/>
          </rPr>
          <t>Informe o número de dias de coleta por semana</t>
        </r>
      </text>
    </comment>
    <comment ref="C16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17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0" authorId="1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<sst xmlns="http://schemas.openxmlformats.org/spreadsheetml/2006/main" count="520" uniqueCount="320">
  <si>
    <t>hora</t>
  </si>
  <si>
    <t>Adicional de Insalubridade</t>
  </si>
  <si>
    <t>%</t>
  </si>
  <si>
    <t>Soma</t>
  </si>
  <si>
    <t>Encargos Sociais</t>
  </si>
  <si>
    <t>Total do Efetivo</t>
  </si>
  <si>
    <t>homem</t>
  </si>
  <si>
    <t>mês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</si>
  <si>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</si>
  <si>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</si>
  <si>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</si>
  <si>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</si>
  <si>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</si>
  <si>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</si>
  <si>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</si>
  <si>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</si>
  <si>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</si>
  <si>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</si>
  <si>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</si>
  <si>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</si>
  <si>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</si>
  <si>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</si>
  <si>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</si>
  <si>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</si>
  <si>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</si>
  <si>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Pá de Concha</t>
  </si>
  <si>
    <t>Vassoura</t>
  </si>
  <si>
    <t>Calça</t>
  </si>
  <si>
    <t>Camiseta</t>
  </si>
  <si>
    <t>Boné</t>
  </si>
  <si>
    <t>Luva de proteção</t>
  </si>
  <si>
    <t>R$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</si>
  <si>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</si>
  <si>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</si>
  <si>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</si>
  <si>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</si>
  <si>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</si>
  <si>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</si>
  <si>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</si>
  <si>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</si>
  <si>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</si>
  <si>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</si>
  <si>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</si>
  <si>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</si>
  <si>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</si>
  <si>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</si>
  <si>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</si>
  <si>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</si>
  <si>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</si>
  <si>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</si>
  <si>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</si>
  <si>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</si>
  <si>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</si>
  <si>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</si>
  <si>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</si>
  <si>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</si>
  <si>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</si>
  <si>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</si>
  <si>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</si>
  <si>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</si>
  <si>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</si>
  <si>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</si>
  <si>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</si>
  <si>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</si>
  <si>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</si>
  <si>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</si>
  <si>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Custo de recapagem</t>
  </si>
  <si>
    <t>Recipiente térmico para água (5L)</t>
  </si>
  <si>
    <t>Total por 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</si>
  <si>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</si>
  <si>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</si>
  <si>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</si>
  <si>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</si>
  <si>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</si>
  <si>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</si>
  <si>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</si>
  <si>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</si>
  <si>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</si>
  <si>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</si>
  <si>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</si>
  <si>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</si>
  <si>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</si>
  <si>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</si>
  <si>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</si>
  <si>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</si>
  <si>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</si>
  <si>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dia</t>
  </si>
  <si>
    <t>Custo Mensal com Mão-de-obra (R$/mês)</t>
  </si>
  <si>
    <t>Meia de algodão com cano alto</t>
  </si>
  <si>
    <t>Quantitativos</t>
  </si>
  <si>
    <t>1.1. Coletor Turno Dia</t>
  </si>
  <si>
    <t>Vida útil do chassis</t>
  </si>
  <si>
    <t>anos</t>
  </si>
  <si>
    <t>Vida útil do compactador</t>
  </si>
  <si>
    <t>Depreciação do compactador</t>
  </si>
  <si>
    <t>Depreciação do chassis</t>
  </si>
  <si>
    <t>Custo de aquisição do compactador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</si>
  <si>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</si>
  <si>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</si>
  <si>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</si>
  <si>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</si>
  <si>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</si>
  <si>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</si>
  <si>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</si>
  <si>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</si>
  <si>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</si>
  <si>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</si>
  <si>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</si>
  <si>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</si>
  <si>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</si>
  <si>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</si>
  <si>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</si>
  <si>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</si>
  <si>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</si>
  <si>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</si>
  <si>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</si>
  <si>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</si>
  <si>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</si>
  <si>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</si>
  <si>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</si>
  <si>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</si>
  <si>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</si>
  <si>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</si>
  <si>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</si>
  <si>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</si>
  <si>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</si>
  <si>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Rotatividade</t>
  </si>
  <si>
    <t>Demitidos s/ Justa Causa em relação ao Estoque Médio</t>
  </si>
  <si>
    <t>Dias ano</t>
  </si>
  <si>
    <t>Estoque Médio</t>
  </si>
  <si>
    <t>Multa FGTS</t>
  </si>
  <si>
    <t>Fração de tempo para gozo férias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</si>
  <si>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</si>
  <si>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</si>
  <si>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</si>
  <si>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</si>
  <si>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</si>
  <si>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</si>
  <si>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</si>
  <si>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</si>
  <si>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</si>
  <si>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</si>
  <si>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</si>
  <si>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</si>
  <si>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</si>
  <si>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</si>
  <si>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</si>
  <si>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</si>
  <si>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</si>
  <si>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</si>
  <si>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</si>
  <si>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</si>
  <si>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</si>
  <si>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</si>
  <si>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</si>
  <si>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</si>
  <si>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</si>
  <si>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</si>
  <si>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</si>
  <si>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</si>
  <si>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</si>
  <si>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</si>
  <si>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</si>
  <si>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</si>
  <si>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</si>
  <si>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</si>
  <si>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</si>
  <si>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</si>
  <si>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</si>
  <si>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</si>
  <si>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</si>
  <si>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</si>
  <si>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</si>
  <si>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</si>
  <si>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</si>
  <si>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</si>
  <si>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</si>
  <si>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</si>
  <si>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</si>
  <si>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Reincidência de Grupo A sobre aviso prévio indenizado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</si>
  <si>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</si>
  <si>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</si>
  <si>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</si>
  <si>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</si>
  <si>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</si>
  <si>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</si>
  <si>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</si>
  <si>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</si>
  <si>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</si>
  <si>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</si>
  <si>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</si>
  <si>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</si>
  <si>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</si>
  <si>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</si>
  <si>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</si>
  <si>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</si>
  <si>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</si>
  <si>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2. Preencher somente células em amarelo</t>
  </si>
  <si>
    <t>Rio Grande do Sul  - Coleta de Resíduos Não-Perigosos - CNAE 38114</t>
  </si>
  <si>
    <t xml:space="preserve">1. Acesse o Portal do CAGED no link http://bi.mte.gov.br/cagedestabelecimento/pages/consulta.xhtml </t>
  </si>
  <si>
    <t>3. Nível Geográfico: selecione "Unidade da Federação" e marque a opção "Rio Grande do Sul"</t>
  </si>
  <si>
    <t>4. Nível Setorial: selecione "Classe de atividade econômica segundo a classificação CNAE – versão 2.0 (669 categorias)" e marque a opção "38114 – Coleta de Resíduos Não-Perigosos"</t>
  </si>
  <si>
    <t>5. Clique em Gerar Relatório</t>
  </si>
  <si>
    <t>Para preencher esta planilha siga os passos 1 a 5:</t>
  </si>
  <si>
    <t>Idade do veículo (ano)</t>
  </si>
  <si>
    <t>Idade do veículo</t>
  </si>
  <si>
    <t>Idade do compactador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</si>
  <si>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</si>
  <si>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</si>
  <si>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</si>
  <si>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</si>
  <si>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</si>
  <si>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Piso da categoria (1)</t>
  </si>
  <si>
    <t>Salário mínimo nacional (2)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</si>
  <si>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</si>
  <si>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</si>
  <si>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</si>
  <si>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</si>
  <si>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1. Coleta de Resíduos Sólidos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</si>
  <si>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</si>
  <si>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</si>
  <si>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</si>
  <si>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</si>
  <si>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</si>
  <si>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</si>
  <si>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</si>
  <si>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</si>
  <si>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</si>
  <si>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</si>
  <si>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</si>
  <si>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</si>
  <si>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</si>
  <si>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</si>
  <si>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</si>
  <si>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</si>
  <si>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</si>
  <si>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</si>
  <si>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</si>
  <si>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</si>
  <si>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</si>
  <si>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CÁLCULO DAS VERBAS INDENIZATÓRIAS DOS EMPREGADOS NO SETOR DE COLETA DE RSU</t>
  </si>
  <si>
    <t>6. Preencha as células em amarelo</t>
  </si>
  <si>
    <t>1/3 de férias (dias)</t>
  </si>
  <si>
    <t>Férias (dias)</t>
  </si>
  <si>
    <t>13º Salário (dias)</t>
  </si>
  <si>
    <t>Referência estudo TCE</t>
  </si>
  <si>
    <t>1. Preencha previamente os dados de entrada na planilha 3.CAGED</t>
  </si>
  <si>
    <t>Rotatividade temporal (meses)</t>
  </si>
  <si>
    <t>1. Esta planilha é somente um modelo-base e deve ser ajustada conforme cada caso concreto.</t>
  </si>
  <si>
    <t>Fórmula de cálculo da remuneração de capital:</t>
  </si>
  <si>
    <t>Excluir esta linha caso a contratação não tenha previsão de horas extras 100% explícita no edital</t>
  </si>
  <si>
    <t>Total por Motorista</t>
  </si>
  <si>
    <t>2. Na Especificação da Consulta, selecione "Demonstrativo por período" e informe as competências relativas ao período Inicial e Final (últimos 12 meses)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</si>
  <si>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</si>
  <si>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</si>
  <si>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</si>
  <si>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</si>
  <si>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</si>
  <si>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</si>
  <si>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</si>
  <si>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</si>
  <si>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</si>
  <si>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</si>
  <si>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</si>
  <si>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</si>
  <si>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</si>
  <si>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</si>
  <si>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</si>
  <si>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</si>
  <si>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</si>
  <si>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</si>
  <si>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</si>
  <si>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</si>
  <si>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</si>
  <si>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</si>
  <si>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</si>
  <si>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</si>
  <si>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</si>
  <si>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</si>
  <si>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</si>
  <si>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</si>
  <si>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</si>
  <si>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3. Preencher somente células em amarelo</t>
  </si>
  <si>
    <t>Depreciação Média</t>
  </si>
  <si>
    <t>2. Dimensionar separadamente setores atendidos por veículos de capacidade de carga diferentes.</t>
  </si>
  <si>
    <r>
      <t>3.1. Veículo Coletor Compactador</t>
    </r>
    <r>
      <rPr>
        <sz val="10"/>
        <color indexed="10"/>
        <rFont val="Arial"/>
        <family val="2"/>
      </rPr>
      <t xml:space="preserve"> </t>
    </r>
    <r>
      <rPr>
        <sz val="10"/>
        <rFont val="Arial"/>
        <family val="2"/>
      </rPr>
      <t>15 m³</t>
    </r>
  </si>
  <si>
    <t>Custo do jogo de pneus 275/80 R22,5 uso misto</t>
  </si>
  <si>
    <t>1.2. Motorista Turno do Dia</t>
  </si>
  <si>
    <t>Horas Extras (100%) ref. a 8 feriados no período</t>
  </si>
  <si>
    <t>2) Alimentação e refeição, bem como as obrigações trabalhistas dos coletores e motoristas foram determinadas de acordo com as disposições das Convenções Coletivas vigentes;</t>
  </si>
  <si>
    <t>MUNICÍPIO DE FAXINAL DO SOTURNO</t>
  </si>
  <si>
    <t>3.2. Containers</t>
  </si>
  <si>
    <t>Coletor Turno Dia  - cfe Convenção</t>
  </si>
  <si>
    <t xml:space="preserve">1.3. Vale-refeição (diário) </t>
  </si>
  <si>
    <t>Motorista Turno Dia - cfe Convenção</t>
  </si>
  <si>
    <t>* Considerada semana = (52 semanas/ano) / (12 meses/ano) = 4,33 semanas/mês = 4,33*4 dias de coleta.</t>
  </si>
  <si>
    <t>Estoque recuperado início do Período 01-07-2017</t>
  </si>
  <si>
    <t>Estoque recuperado final do Período 30-06-2018</t>
  </si>
  <si>
    <t>Variação Emprego Absoluta de 01-07-2017 a 30-06-2018</t>
  </si>
  <si>
    <t>1) O valor do salário mensal é o definido pelo básico da categoria, conforme Convenções Coletivas dos respectivos sindicatos;</t>
  </si>
  <si>
    <t>3) Para os coletores foi observada a Convenção Coletiva 2018/2018 do Sindicato Intermunicipal dos Empregados em Empresas de Asseio e Conservação e Serviços Terceirizados em Asseio e Conservação no RGS; e para o motorista foi observada a Convenção Coletiva 2018/2019 do Sindicato dos Trabalhadores e Condutores de Veículos Rodoviários de SM e Região;</t>
  </si>
  <si>
    <t>4) Estão sendo consideradas 8 (oito) horas de trabalho diárias, para coletores e motorista, sendo que já estão inclusas horas de coleta e transporte.</t>
  </si>
  <si>
    <t>Aluguel de containers de fibra ou plástico, com capacidade mínima de 750 litros.</t>
  </si>
  <si>
    <t>5) As horas extras consideradas referem-se a 8 (oito) feriados (federais, estaduais e municipais) existentes durante o período do contrato;</t>
  </si>
  <si>
    <t>6) A composição de encargos sociais segue os modelos do Tribunal de Contas do Estado do RS - observar e realizar na planilha o preenchimento da "aba 3.CAGED";</t>
  </si>
  <si>
    <t>7) No valor correspondente ao Custo de Manutenção - item 3.1.5 - já está incluso o custo de lavagens do veículo;</t>
  </si>
  <si>
    <t>8) O veículo que está sendo considerado para referência é veículo zero quilômetro. O valor considerado para o caminhão foi obtido na tabela FIPE, para o veículo Mercedes-Benz, modelo Atego 1719. O valor do coletor é a média do valor praticado por empresas do ramo.</t>
  </si>
  <si>
    <t>9) O veículo e o compactador que realizará os serviços deverá ter capacidade mínima de 15m3 e ano de fabricação não superior a 10 (dez) anos (máximo 10 anos em todo o período do contrato). A licitante deverá informar para o cálculo da depreciação a idade do veículo, marca e modelo (para conferência) e taxa de depreciação correspondente.</t>
  </si>
  <si>
    <t>10) Os valores considerados para itens de consumo e rodagem, inclusive o preço do óleo diesel comum é o praticado pelo Município de Faxinal do Soturno, estabelecido através de licitação.</t>
  </si>
  <si>
    <t>11) Para o cálculo do BDI observar as referências mínimas e máximas constantes na "aba 4.BDI" da planilha de custos.</t>
  </si>
  <si>
    <t>Observações importantes:</t>
  </si>
  <si>
    <t>12) As alíquotas utilizadas para ISS, PIS e COFINS, na planilha base, correspondem a uma empresa com tributação pelo lucro presumido. Cada licitante deverá utilizar as alíquotas de acordo com sua tributação, observada as orientações constantes do Edital.</t>
  </si>
  <si>
    <t>CONCORRÊNCIA Nº 01/2018</t>
  </si>
  <si>
    <t>23,00 / 21,00</t>
  </si>
  <si>
    <t>* 17,32 dias/mês = almoço (R$ 23,00) e 4,33 dias/mês = janta (R$ 21,00).</t>
  </si>
  <si>
    <t xml:space="preserve">1.4. Auxílio Alimentação (mensal) </t>
  </si>
  <si>
    <t>* Considerado custo Ticket aliment. R$ 140,00 (na Convenção R$ 146,00 descontado do empregado R$ 6,00 de co-particip.) + vale de R$ 410,00.</t>
  </si>
  <si>
    <t>Faxinal do Soturno, 22 de agosto de 2018.</t>
  </si>
  <si>
    <t>Custo jg. compl. / km rodado</t>
  </si>
  <si>
    <t>ANEXO X - Planilha de Custos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</si>
</sst>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-;\-* #,##0.00_-;_-* &quot;-&quot;??_-;_-@_-"/>
    <numFmt numFmtId="165" formatCode="_(* #,##0.00_);_(* \(#,##0.00\);_(* &quot;-&quot;??_);_(@_)"/>
    <numFmt numFmtId="166" formatCode="_(* #,##0_);_(* \(#,##0\);_(* &quot;-&quot;??_);_(@_)"/>
    <numFmt numFmtId="167" formatCode="_(* #,##0.000_);_(* \(#,##0.000\);_(* &quot;-&quot;??_);_(@_)"/>
    <numFmt numFmtId="168" formatCode="0.0000"/>
    <numFmt numFmtId="169" formatCode="_-* #,##0.000_-;\-* #,##0.000_-;_-* &quot;-&quot;??_-;_-@_-"/>
    <numFmt numFmtId="170" formatCode="_-* #,##0.00_-;\-* #,##0.00_-;_-* &quot;-&quot;?_-;_-@_-"/>
    <numFmt numFmtId="171" formatCode="_-* #,##0_-;\-* #,##0_-;_-* &quot;-&quot;?_-;_-@_-"/>
  </numFmts>
  <fonts count="3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  <font>
      <sz val="12"/>
      <name val="Arial"/>
      <family val="2"/>
    </font>
    <font>
      <sz val="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56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5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5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5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5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0" xfId="3" applyFont="1" applyAlignment="1">
      <alignment horizontal="center" vertical="center"/>
    </xf>
    <xf numFmtId="165" fontId="3" fillId="2" borderId="4" xfId="3" applyFont="1" applyFill="1" applyBorder="1" applyAlignment="1">
      <alignment horizontal="center" vertical="center"/>
    </xf>
    <xf numFmtId="165" fontId="3" fillId="2" borderId="4" xfId="3" applyFont="1" applyFill="1" applyBorder="1" applyAlignment="1">
      <alignment vertical="center"/>
    </xf>
    <xf numFmtId="165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5" fontId="3" fillId="0" borderId="6" xfId="3" applyFont="1" applyBorder="1" applyAlignment="1">
      <alignment vertical="center"/>
    </xf>
    <xf numFmtId="165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5" fontId="6" fillId="0" borderId="6" xfId="3" applyFont="1" applyBorder="1" applyAlignment="1">
      <alignment vertical="center"/>
    </xf>
    <xf numFmtId="165" fontId="6" fillId="0" borderId="7" xfId="3" applyFont="1" applyBorder="1" applyAlignment="1">
      <alignment vertical="center"/>
    </xf>
    <xf numFmtId="165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5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5" fontId="3" fillId="0" borderId="0" xfId="3" applyFont="1" applyBorder="1" applyAlignment="1">
      <alignment vertical="center"/>
    </xf>
    <xf numFmtId="165" fontId="5" fillId="0" borderId="0" xfId="3" applyFont="1" applyAlignment="1">
      <alignment vertical="center"/>
    </xf>
    <xf numFmtId="165" fontId="6" fillId="0" borderId="0" xfId="3" applyFont="1"/>
    <xf numFmtId="165" fontId="0" fillId="0" borderId="9" xfId="3" applyFont="1" applyBorder="1" applyAlignment="1">
      <alignment vertical="center"/>
    </xf>
    <xf numFmtId="165" fontId="3" fillId="0" borderId="10" xfId="3" applyFont="1" applyBorder="1" applyAlignment="1">
      <alignment horizontal="center" vertical="center"/>
    </xf>
    <xf numFmtId="165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5" fontId="3" fillId="0" borderId="0" xfId="3" applyFont="1" applyAlignment="1">
      <alignment vertical="center"/>
    </xf>
    <xf numFmtId="165" fontId="0" fillId="0" borderId="8" xfId="0" applyNumberFormat="1" applyBorder="1" applyAlignment="1">
      <alignment vertical="center"/>
    </xf>
    <xf numFmtId="4" fontId="0" fillId="0" borderId="8" xfId="0" applyNumberFormat="1" applyBorder="1" applyAlignment="1">
      <alignment horizontal="centerContinuous" vertical="center"/>
    </xf>
    <xf numFmtId="165" fontId="0" fillId="0" borderId="8" xfId="3" applyFont="1" applyBorder="1" applyAlignment="1">
      <alignment vertical="center"/>
    </xf>
    <xf numFmtId="165" fontId="3" fillId="0" borderId="11" xfId="3" applyFont="1" applyBorder="1" applyAlignment="1">
      <alignment horizontal="right" vertical="center"/>
    </xf>
    <xf numFmtId="165" fontId="0" fillId="0" borderId="12" xfId="3" applyFont="1" applyBorder="1" applyAlignment="1">
      <alignment vertical="center"/>
    </xf>
    <xf numFmtId="165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5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5" fontId="4" fillId="0" borderId="0" xfId="3" applyFont="1" applyBorder="1" applyAlignment="1">
      <alignment vertical="center"/>
    </xf>
    <xf numFmtId="10" fontId="0" fillId="0" borderId="13" xfId="2" applyNumberFormat="1" applyFont="1" applyBorder="1" applyAlignment="1">
      <alignment vertical="center"/>
    </xf>
    <xf numFmtId="165" fontId="6" fillId="0" borderId="0" xfId="3" applyFont="1" applyBorder="1" applyAlignment="1">
      <alignment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165" fontId="13" fillId="2" borderId="15" xfId="3" applyFont="1" applyFill="1" applyBorder="1" applyAlignment="1">
      <alignment horizontal="center" vertical="center"/>
    </xf>
    <xf numFmtId="165" fontId="13" fillId="2" borderId="16" xfId="3" applyFont="1" applyFill="1" applyBorder="1" applyAlignment="1">
      <alignment horizontal="center" vertical="center"/>
    </xf>
    <xf numFmtId="165" fontId="3" fillId="0" borderId="17" xfId="3" applyFont="1" applyBorder="1" applyAlignment="1">
      <alignment horizontal="center" vertical="center"/>
    </xf>
    <xf numFmtId="165" fontId="1" fillId="0" borderId="12" xfId="3" applyFont="1" applyBorder="1" applyAlignment="1">
      <alignment horizontal="left" vertical="center"/>
    </xf>
    <xf numFmtId="165" fontId="6" fillId="0" borderId="8" xfId="3" applyFont="1" applyBorder="1" applyAlignment="1">
      <alignment vertical="center"/>
    </xf>
    <xf numFmtId="165" fontId="6" fillId="0" borderId="12" xfId="3" applyFont="1" applyBorder="1" applyAlignment="1">
      <alignment vertical="center"/>
    </xf>
    <xf numFmtId="166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8" xfId="3" applyNumberFormat="1" applyFont="1" applyBorder="1" applyAlignment="1">
      <alignment horizontal="center" vertical="center"/>
    </xf>
    <xf numFmtId="165" fontId="3" fillId="0" borderId="26" xfId="3" applyFont="1" applyBorder="1" applyAlignment="1">
      <alignment vertical="center"/>
    </xf>
    <xf numFmtId="4" fontId="3" fillId="0" borderId="27" xfId="0" applyNumberFormat="1" applyFont="1" applyBorder="1" applyAlignment="1">
      <alignment vertical="center"/>
    </xf>
    <xf numFmtId="165" fontId="6" fillId="0" borderId="17" xfId="3" applyFont="1" applyBorder="1" applyAlignment="1">
      <alignment vertical="center"/>
    </xf>
    <xf numFmtId="165" fontId="6" fillId="0" borderId="9" xfId="3" applyFont="1" applyBorder="1" applyAlignment="1">
      <alignment vertical="center"/>
    </xf>
    <xf numFmtId="0" fontId="0" fillId="0" borderId="9" xfId="0" applyBorder="1" applyAlignment="1">
      <alignment vertical="center"/>
    </xf>
    <xf numFmtId="1" fontId="6" fillId="0" borderId="10" xfId="3" applyNumberFormat="1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7" xfId="0" applyBorder="1" applyAlignment="1">
      <alignment vertical="center"/>
    </xf>
    <xf numFmtId="1" fontId="3" fillId="0" borderId="29" xfId="3" applyNumberFormat="1" applyFont="1" applyBorder="1" applyAlignment="1">
      <alignment horizontal="center" vertical="center"/>
    </xf>
    <xf numFmtId="165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5" fontId="3" fillId="2" borderId="4" xfId="3" applyNumberFormat="1" applyFont="1" applyFill="1" applyBorder="1" applyAlignment="1">
      <alignment horizontal="center" vertical="center"/>
    </xf>
    <xf numFmtId="165" fontId="6" fillId="0" borderId="1" xfId="3" applyFont="1" applyFill="1" applyBorder="1" applyAlignment="1">
      <alignment horizontal="center" vertical="center"/>
    </xf>
    <xf numFmtId="165" fontId="11" fillId="0" borderId="0" xfId="3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5" fontId="6" fillId="3" borderId="2" xfId="3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65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166" fontId="6" fillId="0" borderId="1" xfId="3" applyNumberFormat="1" applyFont="1" applyBorder="1" applyAlignment="1">
      <alignment horizontal="center" vertical="center"/>
    </xf>
    <xf numFmtId="165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7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66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5" fontId="3" fillId="0" borderId="1" xfId="3" applyFont="1" applyBorder="1" applyAlignment="1">
      <alignment horizontal="center" vertical="center"/>
    </xf>
    <xf numFmtId="165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165" fontId="13" fillId="2" borderId="31" xfId="3" applyFont="1" applyFill="1" applyBorder="1" applyAlignment="1">
      <alignment horizontal="center" vertical="center"/>
    </xf>
    <xf numFmtId="165" fontId="6" fillId="0" borderId="0" xfId="3" applyFont="1" applyFill="1" applyAlignment="1">
      <alignment vertical="center"/>
    </xf>
    <xf numFmtId="165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5" fontId="3" fillId="0" borderId="33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0" xfId="3" applyFont="1" applyAlignment="1">
      <alignment horizontal="center" vertical="center"/>
    </xf>
    <xf numFmtId="165" fontId="3" fillId="0" borderId="3" xfId="3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6" fillId="0" borderId="0" xfId="3" applyFont="1" applyAlignment="1">
      <alignment horizontal="right" vertical="center"/>
    </xf>
    <xf numFmtId="165" fontId="3" fillId="2" borderId="7" xfId="3" applyFont="1" applyFill="1" applyBorder="1" applyAlignment="1">
      <alignment horizontal="center" vertical="center"/>
    </xf>
    <xf numFmtId="165" fontId="3" fillId="0" borderId="12" xfId="3" applyFont="1" applyBorder="1" applyAlignment="1">
      <alignment vertical="center"/>
    </xf>
    <xf numFmtId="165" fontId="3" fillId="0" borderId="8" xfId="0" applyNumberFormat="1" applyFont="1" applyBorder="1" applyAlignment="1">
      <alignment vertical="center"/>
    </xf>
    <xf numFmtId="165" fontId="3" fillId="0" borderId="8" xfId="3" applyFont="1" applyBorder="1" applyAlignment="1">
      <alignment vertical="center"/>
    </xf>
    <xf numFmtId="10" fontId="3" fillId="0" borderId="13" xfId="2" applyNumberFormat="1" applyFont="1" applyBorder="1" applyAlignment="1">
      <alignment vertical="center"/>
    </xf>
    <xf numFmtId="165" fontId="3" fillId="0" borderId="36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5" fontId="6" fillId="0" borderId="37" xfId="3" applyFont="1" applyBorder="1" applyAlignment="1">
      <alignment vertical="center"/>
    </xf>
    <xf numFmtId="165" fontId="6" fillId="0" borderId="38" xfId="3" applyFont="1" applyBorder="1" applyAlignment="1">
      <alignment vertical="center"/>
    </xf>
    <xf numFmtId="165" fontId="6" fillId="0" borderId="39" xfId="3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1" fontId="6" fillId="0" borderId="35" xfId="3" applyNumberFormat="1" applyFont="1" applyBorder="1" applyAlignment="1">
      <alignment horizontal="center" vertical="center"/>
    </xf>
    <xf numFmtId="165" fontId="3" fillId="0" borderId="12" xfId="3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centerContinuous" vertical="center"/>
    </xf>
    <xf numFmtId="0" fontId="1" fillId="0" borderId="0" xfId="0" applyFont="1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5" fontId="6" fillId="6" borderId="1" xfId="3" applyFont="1" applyFill="1" applyBorder="1" applyAlignment="1">
      <alignment horizontal="center" vertical="center"/>
    </xf>
    <xf numFmtId="165" fontId="6" fillId="6" borderId="1" xfId="3" applyFont="1" applyFill="1" applyBorder="1" applyAlignment="1">
      <alignment vertical="center"/>
    </xf>
    <xf numFmtId="9" fontId="3" fillId="0" borderId="16" xfId="2" applyFont="1" applyBorder="1" applyAlignment="1">
      <alignment vertical="center"/>
    </xf>
    <xf numFmtId="10" fontId="6" fillId="0" borderId="13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5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6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5" fontId="0" fillId="0" borderId="0" xfId="3" applyFont="1" applyFill="1" applyBorder="1" applyAlignment="1">
      <alignment vertical="center"/>
    </xf>
    <xf numFmtId="165" fontId="0" fillId="0" borderId="37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6" fontId="3" fillId="0" borderId="0" xfId="3" applyNumberFormat="1" applyFont="1" applyBorder="1" applyAlignment="1">
      <alignment horizontal="center" vertical="center"/>
    </xf>
    <xf numFmtId="0" fontId="18" fillId="0" borderId="12" xfId="0" applyFont="1" applyBorder="1"/>
    <xf numFmtId="0" fontId="6" fillId="0" borderId="0" xfId="0" applyFont="1" applyBorder="1"/>
    <xf numFmtId="0" fontId="18" fillId="0" borderId="45" xfId="0" applyFont="1" applyBorder="1"/>
    <xf numFmtId="0" fontId="18" fillId="3" borderId="18" xfId="0" applyFont="1" applyFill="1" applyBorder="1"/>
    <xf numFmtId="0" fontId="18" fillId="0" borderId="21" xfId="0" applyFont="1" applyBorder="1"/>
    <xf numFmtId="0" fontId="18" fillId="0" borderId="49" xfId="0" applyFont="1" applyBorder="1"/>
    <xf numFmtId="0" fontId="18" fillId="0" borderId="46" xfId="0" applyFont="1" applyBorder="1"/>
    <xf numFmtId="0" fontId="18" fillId="0" borderId="50" xfId="0" applyFont="1" applyBorder="1"/>
    <xf numFmtId="0" fontId="18" fillId="0" borderId="18" xfId="0" applyFont="1" applyBorder="1"/>
    <xf numFmtId="0" fontId="18" fillId="0" borderId="26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2" fontId="19" fillId="7" borderId="34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18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18" xfId="0" applyNumberFormat="1" applyFont="1" applyBorder="1" applyAlignment="1">
      <alignment horizontal="right" vertical="center"/>
    </xf>
    <xf numFmtId="0" fontId="19" fillId="5" borderId="21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18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2" xfId="0" applyFont="1" applyFill="1" applyBorder="1" applyAlignment="1">
      <alignment horizontal="left" vertical="center"/>
    </xf>
    <xf numFmtId="0" fontId="23" fillId="9" borderId="34" xfId="0" applyFont="1" applyFill="1" applyBorder="1" applyAlignment="1">
      <alignment horizontal="left" vertical="center"/>
    </xf>
    <xf numFmtId="10" fontId="23" fillId="9" borderId="35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3" xfId="0" applyFont="1" applyBorder="1"/>
    <xf numFmtId="0" fontId="5" fillId="0" borderId="21" xfId="0" applyFont="1" applyBorder="1"/>
    <xf numFmtId="0" fontId="5" fillId="3" borderId="18" xfId="0" applyFont="1" applyFill="1" applyBorder="1"/>
    <xf numFmtId="0" fontId="5" fillId="0" borderId="45" xfId="0" applyFont="1" applyBorder="1"/>
    <xf numFmtId="0" fontId="5" fillId="3" borderId="46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36" xfId="0" applyFont="1" applyBorder="1"/>
    <xf numFmtId="0" fontId="5" fillId="0" borderId="37" xfId="0" applyFont="1" applyBorder="1"/>
    <xf numFmtId="0" fontId="7" fillId="0" borderId="46" xfId="0" applyFont="1" applyBorder="1"/>
    <xf numFmtId="9" fontId="7" fillId="0" borderId="46" xfId="0" applyNumberFormat="1" applyFont="1" applyBorder="1"/>
    <xf numFmtId="0" fontId="7" fillId="0" borderId="36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1" xfId="2" applyFont="1" applyBorder="1"/>
    <xf numFmtId="9" fontId="5" fillId="0" borderId="1" xfId="2" applyFont="1" applyBorder="1" applyAlignment="1">
      <alignment horizontal="center"/>
    </xf>
    <xf numFmtId="9" fontId="5" fillId="0" borderId="18" xfId="2" applyFont="1" applyBorder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10" fontId="5" fillId="0" borderId="18" xfId="2" applyNumberFormat="1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18" xfId="0" applyNumberFormat="1" applyFont="1" applyFill="1" applyBorder="1" applyAlignment="1">
      <alignment horizontal="center" vertical="center"/>
    </xf>
    <xf numFmtId="10" fontId="5" fillId="0" borderId="18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8" xfId="0" applyFont="1" applyBorder="1"/>
    <xf numFmtId="0" fontId="5" fillId="0" borderId="22" xfId="0" applyFont="1" applyFill="1" applyBorder="1" applyAlignment="1">
      <alignment horizontal="left" vertical="center"/>
    </xf>
    <xf numFmtId="10" fontId="5" fillId="3" borderId="3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3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10" fontId="5" fillId="0" borderId="25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1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18" xfId="2" applyNumberFormat="1" applyFont="1" applyBorder="1" applyAlignment="1">
      <alignment horizontal="right"/>
    </xf>
    <xf numFmtId="10" fontId="5" fillId="0" borderId="22" xfId="2" applyNumberFormat="1" applyFont="1" applyBorder="1" applyAlignment="1">
      <alignment horizontal="right"/>
    </xf>
    <xf numFmtId="10" fontId="5" fillId="0" borderId="34" xfId="2" applyNumberFormat="1" applyFont="1" applyBorder="1" applyAlignment="1">
      <alignment horizontal="right"/>
    </xf>
    <xf numFmtId="10" fontId="5" fillId="0" borderId="35" xfId="2" applyNumberFormat="1" applyFont="1" applyBorder="1" applyAlignment="1">
      <alignment horizontal="right"/>
    </xf>
    <xf numFmtId="0" fontId="6" fillId="0" borderId="52" xfId="0" applyFont="1" applyBorder="1"/>
    <xf numFmtId="0" fontId="20" fillId="0" borderId="52" xfId="0" applyFont="1" applyBorder="1" applyAlignment="1">
      <alignment horizontal="justify"/>
    </xf>
    <xf numFmtId="0" fontId="20" fillId="0" borderId="53" xfId="0" applyFont="1" applyBorder="1" applyAlignment="1">
      <alignment horizontal="justify"/>
    </xf>
    <xf numFmtId="0" fontId="17" fillId="10" borderId="51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165" fontId="3" fillId="0" borderId="9" xfId="3" applyFont="1" applyBorder="1" applyAlignment="1">
      <alignment vertical="center"/>
    </xf>
    <xf numFmtId="165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5" fontId="3" fillId="0" borderId="8" xfId="3" applyFont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167" fontId="6" fillId="0" borderId="1" xfId="3" applyNumberFormat="1" applyFont="1" applyBorder="1" applyAlignment="1">
      <alignment horizontal="center" vertical="center"/>
    </xf>
    <xf numFmtId="166" fontId="3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7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168" fontId="18" fillId="0" borderId="46" xfId="0" applyNumberFormat="1" applyFont="1" applyBorder="1"/>
    <xf numFmtId="168" fontId="7" fillId="0" borderId="46" xfId="0" applyNumberFormat="1" applyFont="1" applyBorder="1"/>
    <xf numFmtId="168" fontId="7" fillId="0" borderId="29" xfId="0" applyNumberFormat="1" applyFont="1" applyBorder="1"/>
    <xf numFmtId="0" fontId="3" fillId="0" borderId="54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165" fontId="3" fillId="0" borderId="54" xfId="3" applyFont="1" applyBorder="1" applyAlignment="1">
      <alignment horizontal="center" vertical="center"/>
    </xf>
    <xf numFmtId="165" fontId="3" fillId="0" borderId="54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1" xfId="0" applyFont="1" applyBorder="1"/>
    <xf numFmtId="0" fontId="7" fillId="0" borderId="1" xfId="0" applyFont="1" applyBorder="1"/>
    <xf numFmtId="0" fontId="7" fillId="0" borderId="18" xfId="0" applyFont="1" applyBorder="1"/>
    <xf numFmtId="0" fontId="5" fillId="0" borderId="21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69" fontId="24" fillId="0" borderId="18" xfId="3" applyNumberFormat="1" applyFont="1" applyBorder="1" applyAlignment="1">
      <alignment horizontal="center" vertical="center" wrapText="1"/>
    </xf>
    <xf numFmtId="170" fontId="5" fillId="0" borderId="18" xfId="0" applyNumberFormat="1" applyFont="1" applyBorder="1"/>
    <xf numFmtId="2" fontId="5" fillId="0" borderId="18" xfId="0" applyNumberFormat="1" applyFont="1" applyBorder="1"/>
    <xf numFmtId="0" fontId="5" fillId="0" borderId="22" xfId="0" applyFont="1" applyFill="1" applyBorder="1"/>
    <xf numFmtId="0" fontId="5" fillId="0" borderId="34" xfId="0" applyFont="1" applyBorder="1"/>
    <xf numFmtId="170" fontId="5" fillId="3" borderId="18" xfId="0" applyNumberFormat="1" applyFont="1" applyFill="1" applyBorder="1"/>
    <xf numFmtId="170" fontId="5" fillId="0" borderId="35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171" fontId="5" fillId="3" borderId="18" xfId="0" applyNumberFormat="1" applyFont="1" applyFill="1" applyBorder="1"/>
    <xf numFmtId="0" fontId="5" fillId="0" borderId="21" xfId="0" applyFont="1" applyBorder="1" applyAlignment="1">
      <alignment horizontal="right"/>
    </xf>
    <xf numFmtId="13" fontId="1" fillId="0" borderId="1" xfId="0" applyNumberFormat="1" applyFont="1" applyFill="1" applyBorder="1" applyAlignment="1">
      <alignment vertical="center"/>
    </xf>
    <xf numFmtId="165" fontId="1" fillId="0" borderId="2" xfId="3" applyFont="1" applyFill="1" applyBorder="1" applyAlignment="1">
      <alignment horizontal="center" vertical="center"/>
    </xf>
    <xf numFmtId="165" fontId="1" fillId="0" borderId="1" xfId="3" applyNumberFormat="1" applyFont="1" applyFill="1" applyBorder="1" applyAlignment="1">
      <alignment horizontal="center" vertical="center"/>
    </xf>
    <xf numFmtId="13" fontId="1" fillId="0" borderId="1" xfId="0" applyNumberFormat="1" applyFont="1" applyFill="1" applyBorder="1" applyAlignment="1">
      <alignment horizontal="center" vertical="center"/>
    </xf>
    <xf numFmtId="10" fontId="5" fillId="0" borderId="10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5" fontId="1" fillId="0" borderId="0" xfId="3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166" fontId="1" fillId="0" borderId="1" xfId="3" applyNumberFormat="1" applyFont="1" applyBorder="1" applyAlignment="1">
      <alignment horizontal="center" vertical="center"/>
    </xf>
    <xf numFmtId="165" fontId="1" fillId="0" borderId="2" xfId="3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39" fontId="3" fillId="0" borderId="1" xfId="0" applyNumberFormat="1" applyFont="1" applyBorder="1" applyAlignment="1">
      <alignment vertical="center"/>
    </xf>
    <xf numFmtId="39" fontId="0" fillId="0" borderId="1" xfId="0" applyNumberFormat="1" applyBorder="1" applyAlignment="1">
      <alignment vertical="center"/>
    </xf>
    <xf numFmtId="39" fontId="3" fillId="0" borderId="34" xfId="0" applyNumberFormat="1" applyFont="1" applyBorder="1" applyAlignment="1">
      <alignment vertical="center"/>
    </xf>
    <xf numFmtId="39" fontId="3" fillId="0" borderId="32" xfId="0" applyNumberFormat="1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165" fontId="3" fillId="2" borderId="0" xfId="3" applyFont="1" applyFill="1" applyBorder="1" applyAlignment="1">
      <alignment vertical="center"/>
    </xf>
    <xf numFmtId="0" fontId="32" fillId="0" borderId="0" xfId="0" applyFont="1" applyAlignment="1">
      <alignment vertical="center"/>
    </xf>
    <xf numFmtId="0" fontId="1" fillId="0" borderId="0" xfId="0" applyFont="1" applyBorder="1" applyAlignment="1">
      <alignment horizontal="left" vertical="justify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justify" vertical="justify" wrapText="1"/>
    </xf>
    <xf numFmtId="0" fontId="4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" fontId="6" fillId="0" borderId="0" xfId="0" applyNumberFormat="1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5" fontId="3" fillId="0" borderId="12" xfId="3" applyFont="1" applyBorder="1" applyAlignment="1">
      <alignment horizontal="left" vertical="center"/>
    </xf>
    <xf numFmtId="165" fontId="3" fillId="0" borderId="8" xfId="3" applyFont="1" applyBorder="1" applyAlignment="1">
      <alignment horizontal="left" vertical="center"/>
    </xf>
    <xf numFmtId="0" fontId="17" fillId="8" borderId="23" xfId="0" applyFont="1" applyFill="1" applyBorder="1" applyAlignment="1">
      <alignment horizontal="center" vertical="center"/>
    </xf>
    <xf numFmtId="0" fontId="17" fillId="8" borderId="24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165" fontId="3" fillId="0" borderId="5" xfId="3" applyFont="1" applyBorder="1" applyAlignment="1">
      <alignment horizontal="center" vertical="center"/>
    </xf>
    <xf numFmtId="165" fontId="3" fillId="0" borderId="6" xfId="3" applyFont="1" applyBorder="1" applyAlignment="1">
      <alignment horizontal="center" vertical="center"/>
    </xf>
    <xf numFmtId="165" fontId="3" fillId="0" borderId="41" xfId="3" applyFont="1" applyBorder="1" applyAlignment="1">
      <alignment horizontal="center" vertical="center"/>
    </xf>
    <xf numFmtId="165" fontId="4" fillId="8" borderId="5" xfId="3" applyFont="1" applyFill="1" applyBorder="1" applyAlignment="1">
      <alignment horizontal="center" vertical="center"/>
    </xf>
    <xf numFmtId="165" fontId="4" fillId="8" borderId="6" xfId="3" applyFont="1" applyFill="1" applyBorder="1" applyAlignment="1">
      <alignment horizontal="center" vertical="center"/>
    </xf>
    <xf numFmtId="165" fontId="4" fillId="8" borderId="7" xfId="3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10" borderId="17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9" fontId="7" fillId="0" borderId="19" xfId="2" applyFont="1" applyBorder="1" applyAlignment="1">
      <alignment horizontal="center"/>
    </xf>
    <xf numFmtId="9" fontId="7" fillId="0" borderId="20" xfId="2" applyFont="1" applyBorder="1" applyAlignment="1">
      <alignment horizontal="center"/>
    </xf>
    <xf numFmtId="9" fontId="7" fillId="0" borderId="10" xfId="2" applyFont="1" applyBorder="1" applyAlignment="1">
      <alignment horizontal="center"/>
    </xf>
    <xf numFmtId="0" fontId="4" fillId="10" borderId="2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20" xfId="0" applyFont="1" applyFill="1" applyBorder="1" applyAlignment="1">
      <alignment horizontal="center"/>
    </xf>
    <xf numFmtId="0" fontId="17" fillId="10" borderId="10" xfId="0" applyFont="1" applyFill="1" applyBorder="1" applyAlignment="1">
      <alignment horizontal="center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292"/>
  <sheetViews>
    <sheetView tabSelected="1" view="pageBreakPreview" zoomScale="140" zoomScaleNormal="100" zoomScaleSheetLayoutView="140" workbookViewId="0">
      <selection activeCell="B5" sqref="B5"/>
    </sheetView>
  </sheetViews>
  <sheetFormatPr defaultRowHeight="12.75" x14ac:dyDescent="0.2"/>
  <cols>
    <col min="1" max="1" width="45.28515625" style="9" customWidth="1"/>
    <col min="2" max="2" width="16" style="9" bestFit="1" customWidth="1"/>
    <col min="3" max="3" width="12.140625" style="9" customWidth="1"/>
    <col min="4" max="4" width="14.7109375" style="10" customWidth="1"/>
    <col min="5" max="5" width="15.42578125" style="10" customWidth="1"/>
    <col min="6" max="6" width="16.140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ht="18.75" customHeight="1" x14ac:dyDescent="0.2">
      <c r="A1" s="316" t="s">
        <v>312</v>
      </c>
      <c r="B1" s="317"/>
      <c r="C1" s="317"/>
      <c r="D1" s="317"/>
      <c r="E1" s="317"/>
      <c r="F1" s="317"/>
    </row>
    <row r="2" spans="1:7" ht="9" customHeight="1" x14ac:dyDescent="0.2">
      <c r="A2" s="318"/>
      <c r="B2" s="319"/>
      <c r="C2" s="319"/>
      <c r="D2" s="319"/>
      <c r="E2" s="319"/>
      <c r="F2" s="319"/>
    </row>
    <row r="3" spans="1:7" s="4" customFormat="1" ht="16.5" customHeight="1" x14ac:dyDescent="0.2">
      <c r="A3" s="316" t="s">
        <v>319</v>
      </c>
      <c r="B3" s="316"/>
      <c r="C3" s="316"/>
      <c r="D3" s="316"/>
      <c r="E3" s="316"/>
      <c r="F3" s="316"/>
      <c r="G3" s="6"/>
    </row>
    <row r="4" spans="1:7" s="4" customFormat="1" ht="8.25" customHeight="1" x14ac:dyDescent="0.2">
      <c r="A4" s="318"/>
      <c r="B4" s="319"/>
      <c r="C4" s="319"/>
      <c r="D4" s="319"/>
      <c r="E4" s="319"/>
      <c r="F4" s="319"/>
      <c r="G4" s="6"/>
    </row>
    <row r="5" spans="1:7" s="4" customFormat="1" ht="15.75" customHeight="1" x14ac:dyDescent="0.2">
      <c r="A5" s="131" t="s">
        <v>290</v>
      </c>
      <c r="B5" s="132"/>
      <c r="C5" s="132"/>
      <c r="D5" s="132"/>
      <c r="E5" s="132"/>
      <c r="F5" s="132"/>
      <c r="G5" s="6"/>
    </row>
    <row r="6" spans="1:7" s="4" customFormat="1" ht="7.5" customHeight="1" x14ac:dyDescent="0.2">
      <c r="A6" s="131"/>
      <c r="B6" s="132"/>
      <c r="C6" s="132"/>
      <c r="D6" s="132"/>
      <c r="E6" s="132"/>
      <c r="F6" s="132"/>
      <c r="G6" s="6"/>
    </row>
    <row r="7" spans="1:7" s="4" customFormat="1" ht="5.25" customHeight="1" thickBot="1" x14ac:dyDescent="0.25">
      <c r="A7" s="7"/>
      <c r="B7" s="5"/>
      <c r="C7" s="5"/>
      <c r="D7" s="6"/>
      <c r="E7" s="6"/>
      <c r="F7" s="6"/>
      <c r="G7" s="6"/>
    </row>
    <row r="8" spans="1:7" s="8" customFormat="1" ht="18" x14ac:dyDescent="0.2">
      <c r="A8" s="324" t="s">
        <v>218</v>
      </c>
      <c r="B8" s="325"/>
      <c r="C8" s="325"/>
      <c r="D8" s="325"/>
      <c r="E8" s="325"/>
      <c r="F8" s="326"/>
      <c r="G8" s="36"/>
    </row>
    <row r="9" spans="1:7" s="8" customFormat="1" ht="21.75" customHeight="1" x14ac:dyDescent="0.2">
      <c r="A9" s="327" t="s">
        <v>39</v>
      </c>
      <c r="B9" s="328"/>
      <c r="C9" s="328"/>
      <c r="D9" s="328"/>
      <c r="E9" s="328"/>
      <c r="F9" s="329"/>
      <c r="G9" s="36"/>
    </row>
    <row r="10" spans="1:7" s="4" customFormat="1" ht="10.9" customHeight="1" thickBot="1" x14ac:dyDescent="0.25">
      <c r="A10" s="144"/>
      <c r="B10" s="145"/>
      <c r="C10" s="145"/>
      <c r="D10" s="146"/>
      <c r="E10" s="146"/>
      <c r="F10" s="147"/>
      <c r="G10" s="6"/>
    </row>
    <row r="11" spans="1:7" s="4" customFormat="1" ht="15.75" customHeight="1" thickBot="1" x14ac:dyDescent="0.25">
      <c r="A11" s="333" t="s">
        <v>195</v>
      </c>
      <c r="B11" s="334"/>
      <c r="C11" s="334"/>
      <c r="D11" s="334"/>
      <c r="E11" s="334"/>
      <c r="F11" s="335"/>
      <c r="G11" s="6"/>
    </row>
    <row r="12" spans="1:7" s="4" customFormat="1" ht="15.75" customHeight="1" x14ac:dyDescent="0.2">
      <c r="A12" s="62" t="s">
        <v>194</v>
      </c>
      <c r="B12" s="38"/>
      <c r="C12" s="38"/>
      <c r="D12" s="247"/>
      <c r="E12" s="109" t="s">
        <v>34</v>
      </c>
      <c r="F12" s="39" t="s">
        <v>2</v>
      </c>
      <c r="G12" s="6"/>
    </row>
    <row r="13" spans="1:7" s="11" customFormat="1" ht="15.75" customHeight="1" x14ac:dyDescent="0.2">
      <c r="A13" s="118" t="str">
        <f>A46</f>
        <v>1. Mão-de-obra</v>
      </c>
      <c r="B13" s="119"/>
      <c r="C13" s="120"/>
      <c r="D13" s="120"/>
      <c r="E13" s="305">
        <f>+F87</f>
        <v>8794.4116675187815</v>
      </c>
      <c r="F13" s="121">
        <f t="shared" ref="F13:F27" si="0">IFERROR(E13/$E$31,0)</f>
        <v>0.28783265346258841</v>
      </c>
      <c r="G13" s="42"/>
    </row>
    <row r="14" spans="1:7" s="4" customFormat="1" ht="15.75" customHeight="1" x14ac:dyDescent="0.2">
      <c r="A14" s="47" t="str">
        <f>A48</f>
        <v>1.1. Coletor Turno Dia</v>
      </c>
      <c r="B14" s="43"/>
      <c r="C14" s="45"/>
      <c r="D14" s="45"/>
      <c r="E14" s="306">
        <f>F58</f>
        <v>4630.548538901563</v>
      </c>
      <c r="F14" s="56">
        <f t="shared" si="0"/>
        <v>0.15155340952050128</v>
      </c>
      <c r="G14" s="6"/>
    </row>
    <row r="15" spans="1:7" s="4" customFormat="1" ht="15.75" customHeight="1" x14ac:dyDescent="0.2">
      <c r="A15" s="47" t="str">
        <f>A60</f>
        <v>1.2. Motorista Turno do Dia</v>
      </c>
      <c r="B15" s="43"/>
      <c r="C15" s="45"/>
      <c r="D15" s="45"/>
      <c r="E15" s="306">
        <f>F72</f>
        <v>2718.8331286172183</v>
      </c>
      <c r="F15" s="56">
        <f t="shared" si="0"/>
        <v>8.89847989061303E-2</v>
      </c>
      <c r="G15" s="6"/>
    </row>
    <row r="16" spans="1:7" s="4" customFormat="1" ht="15.75" customHeight="1" x14ac:dyDescent="0.2">
      <c r="A16" s="47" t="str">
        <f>A74</f>
        <v xml:space="preserve">1.3. Vale-refeição (diário) </v>
      </c>
      <c r="B16" s="43"/>
      <c r="C16" s="45"/>
      <c r="D16" s="45"/>
      <c r="E16" s="306">
        <f>F78</f>
        <v>1043.53</v>
      </c>
      <c r="F16" s="56">
        <f t="shared" si="0"/>
        <v>3.4153735374609515E-2</v>
      </c>
      <c r="G16" s="6"/>
    </row>
    <row r="17" spans="1:7" s="4" customFormat="1" ht="15.75" customHeight="1" x14ac:dyDescent="0.2">
      <c r="A17" s="47" t="str">
        <f>A81</f>
        <v xml:space="preserve">1.4. Auxílio Alimentação (mensal) </v>
      </c>
      <c r="B17" s="43"/>
      <c r="C17" s="45"/>
      <c r="D17" s="45"/>
      <c r="E17" s="306">
        <f>F85</f>
        <v>401.5</v>
      </c>
      <c r="F17" s="56">
        <f t="shared" si="0"/>
        <v>1.3140709661347273E-2</v>
      </c>
      <c r="G17" s="6"/>
    </row>
    <row r="18" spans="1:7" s="11" customFormat="1" ht="15.75" customHeight="1" x14ac:dyDescent="0.2">
      <c r="A18" s="322" t="str">
        <f>A89</f>
        <v>2. Uniformes e Equipamentos de Proteção Individual</v>
      </c>
      <c r="B18" s="323"/>
      <c r="C18" s="323"/>
      <c r="D18" s="120"/>
      <c r="E18" s="305">
        <f>+F121</f>
        <v>354.9138333333334</v>
      </c>
      <c r="F18" s="121">
        <f t="shared" si="0"/>
        <v>1.161598913730792E-2</v>
      </c>
      <c r="G18" s="42"/>
    </row>
    <row r="19" spans="1:7" s="11" customFormat="1" ht="15.75" customHeight="1" x14ac:dyDescent="0.2">
      <c r="A19" s="129" t="str">
        <f>A123</f>
        <v>3. Veículos e Equipamentos</v>
      </c>
      <c r="B19" s="130"/>
      <c r="C19" s="120"/>
      <c r="D19" s="120"/>
      <c r="E19" s="305">
        <f>+F204</f>
        <v>14701.850961254457</v>
      </c>
      <c r="F19" s="121">
        <f t="shared" si="0"/>
        <v>0.48117747189600035</v>
      </c>
      <c r="G19" s="42"/>
    </row>
    <row r="20" spans="1:7" s="4" customFormat="1" ht="15.75" customHeight="1" x14ac:dyDescent="0.2">
      <c r="A20" s="63" t="str">
        <f>A125</f>
        <v>3.1. Veículo Coletor Compactador 15 m³</v>
      </c>
      <c r="B20" s="44"/>
      <c r="C20" s="45"/>
      <c r="D20" s="45"/>
      <c r="E20" s="306">
        <f>SUM(E21:E26)</f>
        <v>9901.8509612544567</v>
      </c>
      <c r="F20" s="137">
        <f t="shared" si="0"/>
        <v>0.32407807868437666</v>
      </c>
      <c r="G20" s="6"/>
    </row>
    <row r="21" spans="1:7" s="4" customFormat="1" ht="15.75" customHeight="1" x14ac:dyDescent="0.2">
      <c r="A21" s="63" t="str">
        <f>A127</f>
        <v>3.1.1. Depreciação</v>
      </c>
      <c r="B21" s="44"/>
      <c r="C21" s="45"/>
      <c r="D21" s="45"/>
      <c r="E21" s="306">
        <f>F141</f>
        <v>1273.3853221500001</v>
      </c>
      <c r="F21" s="137">
        <f t="shared" si="0"/>
        <v>4.1676679465490203E-2</v>
      </c>
      <c r="G21" s="6"/>
    </row>
    <row r="22" spans="1:7" s="4" customFormat="1" ht="15.75" customHeight="1" x14ac:dyDescent="0.2">
      <c r="A22" s="63" t="str">
        <f>A143</f>
        <v>3.1.2. Remuneração do Capital</v>
      </c>
      <c r="B22" s="44"/>
      <c r="C22" s="45"/>
      <c r="D22" s="45"/>
      <c r="E22" s="306">
        <f>F157</f>
        <v>897.40355577112496</v>
      </c>
      <c r="F22" s="137">
        <f t="shared" si="0"/>
        <v>2.9371157099499421E-2</v>
      </c>
      <c r="G22" s="6"/>
    </row>
    <row r="23" spans="1:7" s="4" customFormat="1" ht="15.75" customHeight="1" x14ac:dyDescent="0.2">
      <c r="A23" s="63" t="str">
        <f>A159</f>
        <v>3.1.3. Impostos e Seguros</v>
      </c>
      <c r="B23" s="44"/>
      <c r="C23" s="45"/>
      <c r="D23" s="45"/>
      <c r="E23" s="306">
        <f>F165</f>
        <v>228.78808333333336</v>
      </c>
      <c r="F23" s="137">
        <f t="shared" si="0"/>
        <v>7.4880143886910553E-3</v>
      </c>
      <c r="G23" s="6"/>
    </row>
    <row r="24" spans="1:7" s="4" customFormat="1" ht="15.75" customHeight="1" x14ac:dyDescent="0.2">
      <c r="A24" s="63" t="str">
        <f>A167</f>
        <v>3.1.4. Consumos</v>
      </c>
      <c r="B24" s="44"/>
      <c r="C24" s="45"/>
      <c r="D24" s="45"/>
      <c r="E24" s="306">
        <f>F183</f>
        <v>4663.0739999999996</v>
      </c>
      <c r="F24" s="137">
        <f t="shared" si="0"/>
        <v>0.15261793664602061</v>
      </c>
      <c r="G24" s="6"/>
    </row>
    <row r="25" spans="1:7" s="4" customFormat="1" ht="15.75" customHeight="1" x14ac:dyDescent="0.2">
      <c r="A25" s="63" t="str">
        <f>A185</f>
        <v>3.1.5. Manutenção</v>
      </c>
      <c r="B25" s="44"/>
      <c r="C25" s="45"/>
      <c r="D25" s="45"/>
      <c r="E25" s="306">
        <f>F188</f>
        <v>2308.8000000000002</v>
      </c>
      <c r="F25" s="137">
        <f t="shared" si="0"/>
        <v>7.5564808134790995E-2</v>
      </c>
      <c r="G25" s="6"/>
    </row>
    <row r="26" spans="1:7" s="4" customFormat="1" ht="15.75" customHeight="1" x14ac:dyDescent="0.2">
      <c r="A26" s="63" t="str">
        <f>A190</f>
        <v>3.1.6. Pneus</v>
      </c>
      <c r="B26" s="44"/>
      <c r="C26" s="45"/>
      <c r="D26" s="45"/>
      <c r="E26" s="306">
        <f>F197</f>
        <v>530.40000000000009</v>
      </c>
      <c r="F26" s="137">
        <f t="shared" si="0"/>
        <v>1.735948294988442E-2</v>
      </c>
      <c r="G26" s="6"/>
    </row>
    <row r="27" spans="1:7" s="4" customFormat="1" ht="15.75" customHeight="1" x14ac:dyDescent="0.2">
      <c r="A27" s="63" t="s">
        <v>291</v>
      </c>
      <c r="B27" s="44"/>
      <c r="C27" s="45"/>
      <c r="D27" s="45"/>
      <c r="E27" s="306">
        <f>F202</f>
        <v>4800</v>
      </c>
      <c r="F27" s="137">
        <f t="shared" si="0"/>
        <v>0.15709939321162369</v>
      </c>
      <c r="G27" s="6"/>
    </row>
    <row r="28" spans="1:7" s="11" customFormat="1" ht="15.75" customHeight="1" x14ac:dyDescent="0.2">
      <c r="A28" s="129" t="str">
        <f>A206</f>
        <v>4. Ferramentas e Materiais de Consumo</v>
      </c>
      <c r="B28" s="130"/>
      <c r="C28" s="120"/>
      <c r="D28" s="120"/>
      <c r="E28" s="305">
        <f>+F216</f>
        <v>37.083333333333329</v>
      </c>
      <c r="F28" s="121">
        <f t="shared" ref="F28" si="1">IFERROR(E28/$E$31,0)</f>
        <v>1.2137019093606343E-3</v>
      </c>
      <c r="G28" s="42"/>
    </row>
    <row r="29" spans="1:7" s="11" customFormat="1" ht="15.75" customHeight="1" x14ac:dyDescent="0.2">
      <c r="A29" s="129" t="str">
        <f>A218</f>
        <v>5. Monitoramento da Frota</v>
      </c>
      <c r="B29" s="130"/>
      <c r="C29" s="120"/>
      <c r="D29" s="120"/>
      <c r="E29" s="305">
        <f>+F227</f>
        <v>43.678333333333335</v>
      </c>
      <c r="F29" s="121">
        <f>IFERROR(E29/$E$31,0)</f>
        <v>1.429549929825355E-3</v>
      </c>
      <c r="G29" s="42"/>
    </row>
    <row r="30" spans="1:7" s="11" customFormat="1" ht="15.75" customHeight="1" thickBot="1" x14ac:dyDescent="0.25">
      <c r="A30" s="129" t="str">
        <f>A231</f>
        <v>6. Benefícios e Despesas Indiretas - BDI</v>
      </c>
      <c r="B30" s="130"/>
      <c r="C30" s="120"/>
      <c r="D30" s="120"/>
      <c r="E30" s="307">
        <f>+F237</f>
        <v>6621.9672802315563</v>
      </c>
      <c r="F30" s="121">
        <f>IFERROR(E30/$E$31,0)</f>
        <v>0.2167306336649174</v>
      </c>
      <c r="G30" s="42"/>
    </row>
    <row r="31" spans="1:7" s="4" customFormat="1" ht="15.75" customHeight="1" thickBot="1" x14ac:dyDescent="0.25">
      <c r="A31" s="40" t="s">
        <v>238</v>
      </c>
      <c r="B31" s="41"/>
      <c r="C31" s="26"/>
      <c r="D31" s="26"/>
      <c r="E31" s="308">
        <f>E13+E18+E19+E28+E29+E30</f>
        <v>30553.905409004794</v>
      </c>
      <c r="F31" s="136">
        <f>F13+F18+F19+F28+F29+F30</f>
        <v>1</v>
      </c>
      <c r="G31" s="6"/>
    </row>
    <row r="33" spans="1:7" ht="13.5" thickBot="1" x14ac:dyDescent="0.25"/>
    <row r="34" spans="1:7" s="4" customFormat="1" ht="15" customHeight="1" thickBot="1" x14ac:dyDescent="0.25">
      <c r="A34" s="333" t="s">
        <v>89</v>
      </c>
      <c r="B34" s="334"/>
      <c r="C34" s="334"/>
      <c r="D34" s="334"/>
      <c r="E34" s="335"/>
      <c r="F34" s="10"/>
      <c r="G34" s="6"/>
    </row>
    <row r="35" spans="1:7" s="4" customFormat="1" ht="15" customHeight="1" thickBot="1" x14ac:dyDescent="0.25">
      <c r="A35" s="330" t="s">
        <v>35</v>
      </c>
      <c r="B35" s="331"/>
      <c r="C35" s="331"/>
      <c r="D35" s="332"/>
      <c r="E35" s="46" t="s">
        <v>36</v>
      </c>
      <c r="F35" s="10"/>
      <c r="G35" s="6"/>
    </row>
    <row r="36" spans="1:7" s="4" customFormat="1" ht="15" customHeight="1" x14ac:dyDescent="0.2">
      <c r="A36" s="71" t="str">
        <f>+A48</f>
        <v>1.1. Coletor Turno Dia</v>
      </c>
      <c r="B36" s="72"/>
      <c r="C36" s="72"/>
      <c r="D36" s="73"/>
      <c r="E36" s="74">
        <f>C57</f>
        <v>2</v>
      </c>
      <c r="F36" s="10"/>
      <c r="G36" s="6"/>
    </row>
    <row r="37" spans="1:7" s="4" customFormat="1" ht="15" customHeight="1" x14ac:dyDescent="0.2">
      <c r="A37" s="65" t="str">
        <f>+A60</f>
        <v>1.2. Motorista Turno do Dia</v>
      </c>
      <c r="B37" s="64"/>
      <c r="C37" s="64"/>
      <c r="D37" s="75"/>
      <c r="E37" s="68">
        <f>C71</f>
        <v>1</v>
      </c>
      <c r="F37" s="10"/>
      <c r="G37" s="6"/>
    </row>
    <row r="38" spans="1:7" s="4" customFormat="1" ht="15" customHeight="1" thickBot="1" x14ac:dyDescent="0.25">
      <c r="A38" s="69" t="s">
        <v>54</v>
      </c>
      <c r="B38" s="70"/>
      <c r="C38" s="70"/>
      <c r="D38" s="76"/>
      <c r="E38" s="77">
        <f>SUM(E36:E37)</f>
        <v>3</v>
      </c>
      <c r="F38" s="10"/>
      <c r="G38" s="6"/>
    </row>
    <row r="39" spans="1:7" s="4" customFormat="1" ht="15" customHeight="1" thickBot="1" x14ac:dyDescent="0.25">
      <c r="A39" s="122"/>
      <c r="B39" s="123"/>
      <c r="C39" s="57"/>
      <c r="D39" s="57"/>
      <c r="E39" s="124"/>
      <c r="F39" s="10"/>
      <c r="G39" s="6"/>
    </row>
    <row r="40" spans="1:7" s="4" customFormat="1" ht="15" customHeight="1" x14ac:dyDescent="0.2">
      <c r="A40" s="320" t="s">
        <v>51</v>
      </c>
      <c r="B40" s="321"/>
      <c r="C40" s="321"/>
      <c r="D40" s="321"/>
      <c r="E40" s="46" t="s">
        <v>36</v>
      </c>
      <c r="F40" s="9"/>
      <c r="G40" s="6"/>
    </row>
    <row r="41" spans="1:7" s="4" customFormat="1" ht="15" customHeight="1" thickBot="1" x14ac:dyDescent="0.25">
      <c r="A41" s="125" t="str">
        <f>+A125</f>
        <v>3.1. Veículo Coletor Compactador 15 m³</v>
      </c>
      <c r="B41" s="126"/>
      <c r="C41" s="126"/>
      <c r="D41" s="127"/>
      <c r="E41" s="128">
        <f>C140</f>
        <v>1</v>
      </c>
      <c r="F41" s="9"/>
      <c r="G41" s="6"/>
    </row>
    <row r="42" spans="1:7" s="4" customFormat="1" ht="15" customHeight="1" x14ac:dyDescent="0.2">
      <c r="A42" s="57"/>
      <c r="B42" s="57"/>
      <c r="C42" s="57"/>
      <c r="D42" s="52"/>
      <c r="E42" s="246"/>
      <c r="F42" s="9"/>
      <c r="G42" s="6"/>
    </row>
    <row r="43" spans="1:7" s="4" customFormat="1" ht="13.5" thickBot="1" x14ac:dyDescent="0.25">
      <c r="A43" s="57"/>
      <c r="B43" s="57"/>
      <c r="C43" s="57"/>
      <c r="D43" s="52"/>
      <c r="E43" s="66"/>
      <c r="F43" s="9"/>
      <c r="G43" s="6"/>
    </row>
    <row r="44" spans="1:7" s="11" customFormat="1" ht="15.75" customHeight="1" thickBot="1" x14ac:dyDescent="0.25">
      <c r="A44" s="248" t="s">
        <v>189</v>
      </c>
      <c r="B44" s="249">
        <v>0.73</v>
      </c>
      <c r="C44" s="35"/>
      <c r="D44" s="34"/>
      <c r="E44" s="149"/>
      <c r="G44" s="42"/>
    </row>
    <row r="45" spans="1:7" s="4" customFormat="1" ht="15.75" customHeight="1" x14ac:dyDescent="0.2">
      <c r="A45" s="57"/>
      <c r="B45" s="57"/>
      <c r="C45" s="57"/>
      <c r="D45" s="52"/>
      <c r="E45" s="66"/>
      <c r="F45" s="9"/>
      <c r="G45" s="6"/>
    </row>
    <row r="46" spans="1:7" ht="13.15" customHeight="1" x14ac:dyDescent="0.2">
      <c r="A46" s="11" t="s">
        <v>42</v>
      </c>
    </row>
    <row r="47" spans="1:7" ht="11.25" customHeight="1" x14ac:dyDescent="0.2"/>
    <row r="48" spans="1:7" ht="13.9" customHeight="1" thickBot="1" x14ac:dyDescent="0.25">
      <c r="A48" s="9" t="s">
        <v>90</v>
      </c>
    </row>
    <row r="49" spans="1:7" ht="13.9" customHeight="1" thickBot="1" x14ac:dyDescent="0.25">
      <c r="A49" s="58" t="s">
        <v>59</v>
      </c>
      <c r="B49" s="59" t="s">
        <v>60</v>
      </c>
      <c r="C49" s="59" t="s">
        <v>36</v>
      </c>
      <c r="D49" s="60" t="s">
        <v>234</v>
      </c>
      <c r="E49" s="60" t="s">
        <v>61</v>
      </c>
      <c r="F49" s="61" t="s">
        <v>62</v>
      </c>
    </row>
    <row r="50" spans="1:7" ht="13.15" customHeight="1" x14ac:dyDescent="0.2">
      <c r="A50" s="13" t="s">
        <v>210</v>
      </c>
      <c r="B50" s="14" t="s">
        <v>7</v>
      </c>
      <c r="C50" s="14">
        <v>1</v>
      </c>
      <c r="D50" s="85">
        <v>1221.8800000000001</v>
      </c>
      <c r="E50" s="15">
        <f>C50*D50</f>
        <v>1221.8800000000001</v>
      </c>
    </row>
    <row r="51" spans="1:7" x14ac:dyDescent="0.2">
      <c r="A51" s="299" t="s">
        <v>288</v>
      </c>
      <c r="B51" s="17" t="s">
        <v>0</v>
      </c>
      <c r="C51" s="86">
        <v>5.5</v>
      </c>
      <c r="D51" s="18">
        <f>((D50+(D50*0.4))/220)*2</f>
        <v>15.5512</v>
      </c>
      <c r="E51" s="18">
        <f>C51*D51</f>
        <v>85.531599999999997</v>
      </c>
      <c r="G51" s="10" t="s">
        <v>250</v>
      </c>
    </row>
    <row r="52" spans="1:7" ht="13.15" customHeight="1" x14ac:dyDescent="0.2">
      <c r="A52" s="16" t="s">
        <v>215</v>
      </c>
      <c r="B52" s="17" t="s">
        <v>31</v>
      </c>
      <c r="D52" s="18">
        <f>63/302*(SUM(E51:E51))</f>
        <v>17.842684768211921</v>
      </c>
      <c r="E52" s="18">
        <f>D52</f>
        <v>17.842684768211921</v>
      </c>
      <c r="G52" s="10" t="s">
        <v>214</v>
      </c>
    </row>
    <row r="53" spans="1:7" x14ac:dyDescent="0.2">
      <c r="A53" s="16" t="s">
        <v>1</v>
      </c>
      <c r="B53" s="17" t="s">
        <v>2</v>
      </c>
      <c r="C53" s="17">
        <v>40</v>
      </c>
      <c r="D53" s="81">
        <f>E50</f>
        <v>1221.8800000000001</v>
      </c>
      <c r="E53" s="18">
        <f>C53*D53/100</f>
        <v>488.75200000000007</v>
      </c>
    </row>
    <row r="54" spans="1:7" x14ac:dyDescent="0.2">
      <c r="A54" s="110" t="s">
        <v>3</v>
      </c>
      <c r="B54" s="111"/>
      <c r="C54" s="111"/>
      <c r="D54" s="112"/>
      <c r="E54" s="113">
        <f>SUM(E50:E53)</f>
        <v>1814.006284768212</v>
      </c>
    </row>
    <row r="55" spans="1:7" x14ac:dyDescent="0.2">
      <c r="A55" s="16" t="s">
        <v>4</v>
      </c>
      <c r="B55" s="17" t="s">
        <v>2</v>
      </c>
      <c r="C55" s="134">
        <f>'2.Encargos Sociais'!$C$34*100</f>
        <v>74.839999999999989</v>
      </c>
      <c r="D55" s="18">
        <f>E54</f>
        <v>1814.006284768212</v>
      </c>
      <c r="E55" s="18">
        <f>D55*C55/100</f>
        <v>1357.6023035205299</v>
      </c>
    </row>
    <row r="56" spans="1:7" x14ac:dyDescent="0.2">
      <c r="A56" s="110" t="s">
        <v>68</v>
      </c>
      <c r="B56" s="111"/>
      <c r="C56" s="111"/>
      <c r="D56" s="112"/>
      <c r="E56" s="113">
        <f>E54+E55</f>
        <v>3171.6085882887419</v>
      </c>
    </row>
    <row r="57" spans="1:7" ht="13.5" thickBot="1" x14ac:dyDescent="0.25">
      <c r="A57" s="16" t="s">
        <v>5</v>
      </c>
      <c r="B57" s="17" t="s">
        <v>6</v>
      </c>
      <c r="C57" s="84">
        <v>2</v>
      </c>
      <c r="D57" s="18">
        <f>E56</f>
        <v>3171.6085882887419</v>
      </c>
      <c r="E57" s="18">
        <f>C57*D57</f>
        <v>6343.2171765774838</v>
      </c>
      <c r="G57" s="6"/>
    </row>
    <row r="58" spans="1:7" ht="13.9" customHeight="1" thickBot="1" x14ac:dyDescent="0.25">
      <c r="D58" s="116" t="s">
        <v>188</v>
      </c>
      <c r="E58" s="48">
        <f>$B$44</f>
        <v>0.73</v>
      </c>
      <c r="F58" s="117">
        <f>E57*E58</f>
        <v>4630.548538901563</v>
      </c>
      <c r="G58" s="6"/>
    </row>
    <row r="59" spans="1:7" ht="11.25" customHeight="1" x14ac:dyDescent="0.2"/>
    <row r="60" spans="1:7" ht="13.5" thickBot="1" x14ac:dyDescent="0.25">
      <c r="A60" s="7" t="s">
        <v>287</v>
      </c>
    </row>
    <row r="61" spans="1:7" s="12" customFormat="1" ht="13.15" customHeight="1" thickBot="1" x14ac:dyDescent="0.25">
      <c r="A61" s="58" t="s">
        <v>59</v>
      </c>
      <c r="B61" s="59" t="s">
        <v>60</v>
      </c>
      <c r="C61" s="59" t="s">
        <v>36</v>
      </c>
      <c r="D61" s="60" t="s">
        <v>234</v>
      </c>
      <c r="E61" s="60" t="s">
        <v>61</v>
      </c>
      <c r="F61" s="61" t="s">
        <v>62</v>
      </c>
      <c r="G61" s="10"/>
    </row>
    <row r="62" spans="1:7" x14ac:dyDescent="0.2">
      <c r="A62" s="13" t="s">
        <v>212</v>
      </c>
      <c r="B62" s="14" t="s">
        <v>7</v>
      </c>
      <c r="C62" s="14">
        <v>1</v>
      </c>
      <c r="D62" s="85">
        <v>1674</v>
      </c>
      <c r="E62" s="15">
        <f>C62*D62</f>
        <v>1674</v>
      </c>
    </row>
    <row r="63" spans="1:7" x14ac:dyDescent="0.2">
      <c r="A63" s="13" t="s">
        <v>213</v>
      </c>
      <c r="B63" s="14" t="s">
        <v>7</v>
      </c>
      <c r="C63" s="14">
        <v>1</v>
      </c>
      <c r="D63" s="85">
        <v>954</v>
      </c>
      <c r="E63" s="15"/>
    </row>
    <row r="64" spans="1:7" x14ac:dyDescent="0.2">
      <c r="A64" s="299" t="s">
        <v>288</v>
      </c>
      <c r="B64" s="17" t="s">
        <v>0</v>
      </c>
      <c r="C64" s="86">
        <v>5.5</v>
      </c>
      <c r="D64" s="18">
        <f>((D62+(D62*0.2))/220)*2</f>
        <v>18.261818181818182</v>
      </c>
      <c r="E64" s="18">
        <f>C64*D64</f>
        <v>100.44</v>
      </c>
      <c r="G64" s="10" t="s">
        <v>250</v>
      </c>
    </row>
    <row r="65" spans="1:7" ht="13.15" customHeight="1" x14ac:dyDescent="0.2">
      <c r="A65" s="16" t="s">
        <v>215</v>
      </c>
      <c r="B65" s="17" t="s">
        <v>31</v>
      </c>
      <c r="D65" s="18">
        <f>63/302*(SUM(E64:E64))</f>
        <v>20.95271523178808</v>
      </c>
      <c r="E65" s="18">
        <f>D65</f>
        <v>20.95271523178808</v>
      </c>
      <c r="G65" s="10" t="s">
        <v>214</v>
      </c>
    </row>
    <row r="66" spans="1:7" x14ac:dyDescent="0.2">
      <c r="A66" s="16" t="s">
        <v>211</v>
      </c>
      <c r="B66" s="17"/>
      <c r="C66" s="88">
        <v>2</v>
      </c>
      <c r="D66" s="18"/>
      <c r="E66" s="18"/>
    </row>
    <row r="67" spans="1:7" x14ac:dyDescent="0.2">
      <c r="A67" s="16" t="s">
        <v>1</v>
      </c>
      <c r="B67" s="17" t="s">
        <v>2</v>
      </c>
      <c r="C67" s="84">
        <v>20</v>
      </c>
      <c r="D67" s="81">
        <f>E62</f>
        <v>1674</v>
      </c>
      <c r="E67" s="18">
        <f>C67*D67/100</f>
        <v>334.8</v>
      </c>
    </row>
    <row r="68" spans="1:7" s="11" customFormat="1" x14ac:dyDescent="0.2">
      <c r="A68" s="97" t="s">
        <v>3</v>
      </c>
      <c r="B68" s="111"/>
      <c r="C68" s="111"/>
      <c r="D68" s="112"/>
      <c r="E68" s="99">
        <f>SUM(E62:E67)</f>
        <v>2130.192715231788</v>
      </c>
      <c r="F68" s="42"/>
      <c r="G68" s="42"/>
    </row>
    <row r="69" spans="1:7" x14ac:dyDescent="0.2">
      <c r="A69" s="16" t="s">
        <v>4</v>
      </c>
      <c r="B69" s="17" t="s">
        <v>2</v>
      </c>
      <c r="C69" s="134">
        <f>'2.Encargos Sociais'!$C$34*100</f>
        <v>74.839999999999989</v>
      </c>
      <c r="D69" s="18">
        <f>E68</f>
        <v>2130.192715231788</v>
      </c>
      <c r="E69" s="18">
        <f>D69*C69/100</f>
        <v>1594.2362280794698</v>
      </c>
    </row>
    <row r="70" spans="1:7" s="11" customFormat="1" x14ac:dyDescent="0.2">
      <c r="A70" s="97" t="s">
        <v>251</v>
      </c>
      <c r="B70" s="255"/>
      <c r="C70" s="255"/>
      <c r="D70" s="256"/>
      <c r="E70" s="99">
        <f>E68+E69</f>
        <v>3724.4289433112581</v>
      </c>
      <c r="F70" s="42"/>
      <c r="G70" s="42"/>
    </row>
    <row r="71" spans="1:7" ht="13.5" thickBot="1" x14ac:dyDescent="0.25">
      <c r="A71" s="16" t="s">
        <v>5</v>
      </c>
      <c r="B71" s="17" t="s">
        <v>6</v>
      </c>
      <c r="C71" s="84">
        <v>1</v>
      </c>
      <c r="D71" s="18">
        <f>E70</f>
        <v>3724.4289433112581</v>
      </c>
      <c r="E71" s="18">
        <f>C71*D71</f>
        <v>3724.4289433112581</v>
      </c>
    </row>
    <row r="72" spans="1:7" ht="13.5" thickBot="1" x14ac:dyDescent="0.25">
      <c r="D72" s="116" t="s">
        <v>188</v>
      </c>
      <c r="E72" s="48">
        <f>$B$44</f>
        <v>0.73</v>
      </c>
      <c r="F72" s="117">
        <f>E71*E72</f>
        <v>2718.8331286172183</v>
      </c>
    </row>
    <row r="73" spans="1:7" ht="11.25" customHeight="1" x14ac:dyDescent="0.2"/>
    <row r="74" spans="1:7" ht="13.5" thickBot="1" x14ac:dyDescent="0.25">
      <c r="A74" s="7" t="s">
        <v>293</v>
      </c>
      <c r="F74" s="23"/>
      <c r="G74" s="9"/>
    </row>
    <row r="75" spans="1:7" ht="13.5" thickBot="1" x14ac:dyDescent="0.25">
      <c r="A75" s="58" t="s">
        <v>59</v>
      </c>
      <c r="B75" s="59" t="s">
        <v>60</v>
      </c>
      <c r="C75" s="59" t="s">
        <v>36</v>
      </c>
      <c r="D75" s="60" t="s">
        <v>234</v>
      </c>
      <c r="E75" s="60" t="s">
        <v>61</v>
      </c>
      <c r="F75" s="61" t="s">
        <v>62</v>
      </c>
      <c r="G75" s="9"/>
    </row>
    <row r="76" spans="1:7" x14ac:dyDescent="0.2">
      <c r="A76" s="299" t="s">
        <v>292</v>
      </c>
      <c r="B76" s="17" t="s">
        <v>8</v>
      </c>
      <c r="C76" s="295">
        <f>((4.33*4)*2)</f>
        <v>34.64</v>
      </c>
      <c r="D76" s="295">
        <v>16</v>
      </c>
      <c r="E76" s="48">
        <f>C76*D76</f>
        <v>554.24</v>
      </c>
      <c r="F76" s="23"/>
      <c r="G76" s="9"/>
    </row>
    <row r="77" spans="1:7" ht="13.5" thickBot="1" x14ac:dyDescent="0.25">
      <c r="A77" s="299" t="s">
        <v>294</v>
      </c>
      <c r="B77" s="17" t="s">
        <v>8</v>
      </c>
      <c r="C77" s="295">
        <f>4.33*4</f>
        <v>17.32</v>
      </c>
      <c r="D77" s="295" t="s">
        <v>313</v>
      </c>
      <c r="E77" s="48">
        <f>((17.32*23)+(4.33*21))</f>
        <v>489.29</v>
      </c>
      <c r="F77" s="23"/>
      <c r="G77" s="9"/>
    </row>
    <row r="78" spans="1:7" ht="13.5" thickBot="1" x14ac:dyDescent="0.25">
      <c r="A78" s="311" t="s">
        <v>295</v>
      </c>
      <c r="F78" s="22">
        <f>SUM(E76:E77)</f>
        <v>1043.53</v>
      </c>
      <c r="G78" s="9"/>
    </row>
    <row r="79" spans="1:7" x14ac:dyDescent="0.2">
      <c r="A79" s="311" t="s">
        <v>314</v>
      </c>
      <c r="F79" s="310"/>
      <c r="G79" s="9"/>
    </row>
    <row r="80" spans="1:7" x14ac:dyDescent="0.2">
      <c r="G80" s="9"/>
    </row>
    <row r="81" spans="1:7" ht="13.5" thickBot="1" x14ac:dyDescent="0.25">
      <c r="A81" s="7" t="s">
        <v>315</v>
      </c>
      <c r="F81" s="23"/>
      <c r="G81" s="9"/>
    </row>
    <row r="82" spans="1:7" ht="13.5" thickBot="1" x14ac:dyDescent="0.25">
      <c r="A82" s="58" t="s">
        <v>59</v>
      </c>
      <c r="B82" s="59" t="s">
        <v>60</v>
      </c>
      <c r="C82" s="59" t="s">
        <v>36</v>
      </c>
      <c r="D82" s="60" t="s">
        <v>234</v>
      </c>
      <c r="E82" s="60" t="s">
        <v>61</v>
      </c>
      <c r="F82" s="61" t="s">
        <v>62</v>
      </c>
      <c r="G82" s="9"/>
    </row>
    <row r="83" spans="1:7" x14ac:dyDescent="0.2">
      <c r="A83" s="16" t="str">
        <f>+A76</f>
        <v>Coletor Turno Dia  - cfe Convenção</v>
      </c>
      <c r="B83" s="17" t="s">
        <v>8</v>
      </c>
      <c r="C83" s="96"/>
      <c r="D83" s="90"/>
      <c r="E83" s="48">
        <f>C83*D83</f>
        <v>0</v>
      </c>
      <c r="F83" s="23"/>
      <c r="G83" s="9"/>
    </row>
    <row r="84" spans="1:7" ht="13.5" thickBot="1" x14ac:dyDescent="0.25">
      <c r="A84" s="16" t="str">
        <f>+A77</f>
        <v>Motorista Turno Dia - cfe Convenção</v>
      </c>
      <c r="B84" s="17" t="s">
        <v>8</v>
      </c>
      <c r="C84" s="96">
        <v>1</v>
      </c>
      <c r="D84" s="90">
        <f>140+410</f>
        <v>550</v>
      </c>
      <c r="E84" s="48">
        <f>C84*D84</f>
        <v>550</v>
      </c>
      <c r="F84" s="23"/>
      <c r="G84" s="9"/>
    </row>
    <row r="85" spans="1:7" ht="13.5" thickBot="1" x14ac:dyDescent="0.25">
      <c r="A85" s="311" t="s">
        <v>316</v>
      </c>
      <c r="D85" s="116" t="s">
        <v>188</v>
      </c>
      <c r="E85" s="48">
        <f>$B$44</f>
        <v>0.73</v>
      </c>
      <c r="F85" s="22">
        <f>SUM(E83:E84)*E85</f>
        <v>401.5</v>
      </c>
      <c r="G85" s="9"/>
    </row>
    <row r="86" spans="1:7" ht="13.5" thickBot="1" x14ac:dyDescent="0.25">
      <c r="G86" s="9"/>
    </row>
    <row r="87" spans="1:7" ht="13.5" thickBot="1" x14ac:dyDescent="0.25">
      <c r="A87" s="24" t="s">
        <v>87</v>
      </c>
      <c r="B87" s="25"/>
      <c r="C87" s="25"/>
      <c r="D87" s="26"/>
      <c r="E87" s="27"/>
      <c r="F87" s="22">
        <f>F85+F78+F72+F58</f>
        <v>8794.4116675187815</v>
      </c>
      <c r="G87" s="9"/>
    </row>
    <row r="89" spans="1:7" x14ac:dyDescent="0.2">
      <c r="A89" s="11" t="s">
        <v>40</v>
      </c>
      <c r="G89" s="9"/>
    </row>
    <row r="90" spans="1:7" ht="11.25" customHeight="1" x14ac:dyDescent="0.2">
      <c r="G90" s="9"/>
    </row>
    <row r="91" spans="1:7" ht="13.9" customHeight="1" x14ac:dyDescent="0.2">
      <c r="A91" s="9" t="s">
        <v>190</v>
      </c>
      <c r="G91" s="9"/>
    </row>
    <row r="92" spans="1:7" ht="11.25" customHeight="1" thickBot="1" x14ac:dyDescent="0.25">
      <c r="G92" s="9"/>
    </row>
    <row r="93" spans="1:7" ht="27.75" customHeight="1" thickBot="1" x14ac:dyDescent="0.25">
      <c r="A93" s="58" t="s">
        <v>59</v>
      </c>
      <c r="B93" s="59" t="s">
        <v>60</v>
      </c>
      <c r="C93" s="257" t="s">
        <v>253</v>
      </c>
      <c r="D93" s="60" t="s">
        <v>234</v>
      </c>
      <c r="E93" s="60" t="s">
        <v>61</v>
      </c>
      <c r="F93" s="61" t="s">
        <v>62</v>
      </c>
      <c r="G93" s="9"/>
    </row>
    <row r="94" spans="1:7" x14ac:dyDescent="0.2">
      <c r="A94" s="13" t="s">
        <v>63</v>
      </c>
      <c r="B94" s="14" t="s">
        <v>8</v>
      </c>
      <c r="C94" s="293">
        <v>6</v>
      </c>
      <c r="D94" s="294">
        <v>150</v>
      </c>
      <c r="E94" s="15">
        <f>IFERROR(D94/C94,0)</f>
        <v>25</v>
      </c>
      <c r="G94" s="9"/>
    </row>
    <row r="95" spans="1:7" ht="13.15" customHeight="1" x14ac:dyDescent="0.2">
      <c r="A95" s="16" t="s">
        <v>27</v>
      </c>
      <c r="B95" s="17" t="s">
        <v>8</v>
      </c>
      <c r="C95" s="293">
        <v>4</v>
      </c>
      <c r="D95" s="294">
        <v>45.8</v>
      </c>
      <c r="E95" s="15">
        <f t="shared" ref="E95:E103" si="2">IFERROR(D95/C95,0)</f>
        <v>11.45</v>
      </c>
      <c r="G95" s="9"/>
    </row>
    <row r="96" spans="1:7" x14ac:dyDescent="0.2">
      <c r="A96" s="16" t="s">
        <v>28</v>
      </c>
      <c r="B96" s="17" t="s">
        <v>8</v>
      </c>
      <c r="C96" s="293">
        <v>4</v>
      </c>
      <c r="D96" s="294">
        <v>35.200000000000003</v>
      </c>
      <c r="E96" s="15">
        <f t="shared" si="2"/>
        <v>8.8000000000000007</v>
      </c>
      <c r="G96" s="9"/>
    </row>
    <row r="97" spans="1:7" ht="13.15" customHeight="1" x14ac:dyDescent="0.2">
      <c r="A97" s="16" t="s">
        <v>29</v>
      </c>
      <c r="B97" s="17" t="s">
        <v>8</v>
      </c>
      <c r="C97" s="293">
        <v>6</v>
      </c>
      <c r="D97" s="294">
        <v>22</v>
      </c>
      <c r="E97" s="15">
        <f t="shared" si="2"/>
        <v>3.6666666666666665</v>
      </c>
      <c r="G97" s="9"/>
    </row>
    <row r="98" spans="1:7" ht="13.9" customHeight="1" x14ac:dyDescent="0.2">
      <c r="A98" s="16" t="s">
        <v>65</v>
      </c>
      <c r="B98" s="17" t="s">
        <v>43</v>
      </c>
      <c r="C98" s="293">
        <v>6</v>
      </c>
      <c r="D98" s="294">
        <v>75.5</v>
      </c>
      <c r="E98" s="15">
        <f t="shared" si="2"/>
        <v>12.583333333333334</v>
      </c>
      <c r="G98" s="9"/>
    </row>
    <row r="99" spans="1:7" ht="13.15" customHeight="1" x14ac:dyDescent="0.2">
      <c r="A99" s="16" t="s">
        <v>88</v>
      </c>
      <c r="B99" s="17" t="s">
        <v>43</v>
      </c>
      <c r="C99" s="293">
        <v>4</v>
      </c>
      <c r="D99" s="294">
        <v>5.5</v>
      </c>
      <c r="E99" s="15">
        <f t="shared" si="2"/>
        <v>1.375</v>
      </c>
    </row>
    <row r="100" spans="1:7" x14ac:dyDescent="0.2">
      <c r="A100" s="16" t="s">
        <v>64</v>
      </c>
      <c r="B100" s="17" t="s">
        <v>8</v>
      </c>
      <c r="C100" s="293">
        <v>6</v>
      </c>
      <c r="D100" s="294">
        <v>35.5</v>
      </c>
      <c r="E100" s="15">
        <f t="shared" si="2"/>
        <v>5.916666666666667</v>
      </c>
    </row>
    <row r="101" spans="1:7" s="1" customFormat="1" x14ac:dyDescent="0.2">
      <c r="A101" s="2" t="s">
        <v>9</v>
      </c>
      <c r="B101" s="3" t="s">
        <v>8</v>
      </c>
      <c r="C101" s="293">
        <v>6</v>
      </c>
      <c r="D101" s="294">
        <v>45</v>
      </c>
      <c r="E101" s="15">
        <f t="shared" si="2"/>
        <v>7.5</v>
      </c>
      <c r="F101" s="37"/>
      <c r="G101" s="37"/>
    </row>
    <row r="102" spans="1:7" x14ac:dyDescent="0.2">
      <c r="A102" s="16" t="s">
        <v>30</v>
      </c>
      <c r="B102" s="17" t="s">
        <v>43</v>
      </c>
      <c r="C102" s="293">
        <v>2</v>
      </c>
      <c r="D102" s="294">
        <v>17</v>
      </c>
      <c r="E102" s="15">
        <f t="shared" si="2"/>
        <v>8.5</v>
      </c>
    </row>
    <row r="103" spans="1:7" ht="13.15" customHeight="1" x14ac:dyDescent="0.2">
      <c r="A103" s="16" t="s">
        <v>58</v>
      </c>
      <c r="B103" s="17" t="s">
        <v>44</v>
      </c>
      <c r="C103" s="293">
        <v>4</v>
      </c>
      <c r="D103" s="294">
        <v>25</v>
      </c>
      <c r="E103" s="15">
        <f t="shared" si="2"/>
        <v>6.25</v>
      </c>
    </row>
    <row r="104" spans="1:7" x14ac:dyDescent="0.2">
      <c r="A104" s="16" t="s">
        <v>191</v>
      </c>
      <c r="B104" s="17" t="s">
        <v>113</v>
      </c>
      <c r="C104" s="114">
        <v>1</v>
      </c>
      <c r="D104" s="85">
        <v>80</v>
      </c>
      <c r="E104" s="18">
        <f t="shared" ref="E104:E105" si="3">C104*D104</f>
        <v>80</v>
      </c>
    </row>
    <row r="105" spans="1:7" ht="13.5" thickBot="1" x14ac:dyDescent="0.25">
      <c r="A105" s="16" t="s">
        <v>5</v>
      </c>
      <c r="B105" s="17" t="s">
        <v>6</v>
      </c>
      <c r="C105" s="67">
        <v>2</v>
      </c>
      <c r="D105" s="18">
        <f>+SUM(E94:E104)</f>
        <v>171.04166666666669</v>
      </c>
      <c r="E105" s="18">
        <f t="shared" si="3"/>
        <v>342.08333333333337</v>
      </c>
    </row>
    <row r="106" spans="1:7" ht="13.5" thickBot="1" x14ac:dyDescent="0.25">
      <c r="D106" s="116" t="s">
        <v>188</v>
      </c>
      <c r="E106" s="48">
        <f>$B$44</f>
        <v>0.73</v>
      </c>
      <c r="F106" s="117">
        <f>E105*E106</f>
        <v>249.72083333333336</v>
      </c>
    </row>
    <row r="107" spans="1:7" ht="11.25" customHeight="1" x14ac:dyDescent="0.2"/>
    <row r="108" spans="1:7" ht="13.9" customHeight="1" x14ac:dyDescent="0.2">
      <c r="A108" s="9" t="s">
        <v>192</v>
      </c>
    </row>
    <row r="109" spans="1:7" ht="11.25" customHeight="1" thickBot="1" x14ac:dyDescent="0.25"/>
    <row r="110" spans="1:7" ht="24.75" thickBot="1" x14ac:dyDescent="0.25">
      <c r="A110" s="58" t="s">
        <v>59</v>
      </c>
      <c r="B110" s="59" t="s">
        <v>60</v>
      </c>
      <c r="C110" s="257" t="s">
        <v>253</v>
      </c>
      <c r="D110" s="60" t="s">
        <v>234</v>
      </c>
      <c r="E110" s="60" t="s">
        <v>61</v>
      </c>
      <c r="F110" s="61" t="s">
        <v>62</v>
      </c>
    </row>
    <row r="111" spans="1:7" x14ac:dyDescent="0.2">
      <c r="A111" s="13" t="s">
        <v>63</v>
      </c>
      <c r="B111" s="14" t="s">
        <v>8</v>
      </c>
      <c r="C111" s="293">
        <v>6</v>
      </c>
      <c r="D111" s="15">
        <f>+D94</f>
        <v>150</v>
      </c>
      <c r="E111" s="15">
        <f>IFERROR(D111/C111,0)</f>
        <v>25</v>
      </c>
    </row>
    <row r="112" spans="1:7" x14ac:dyDescent="0.2">
      <c r="A112" s="16" t="s">
        <v>27</v>
      </c>
      <c r="B112" s="17" t="s">
        <v>8</v>
      </c>
      <c r="C112" s="293">
        <v>6</v>
      </c>
      <c r="D112" s="18">
        <f>+D95</f>
        <v>45.8</v>
      </c>
      <c r="E112" s="15">
        <f t="shared" ref="E112:E116" si="4">IFERROR(D112/C112,0)</f>
        <v>7.6333333333333329</v>
      </c>
    </row>
    <row r="113" spans="1:7" x14ac:dyDescent="0.2">
      <c r="A113" s="16" t="s">
        <v>28</v>
      </c>
      <c r="B113" s="17" t="s">
        <v>8</v>
      </c>
      <c r="C113" s="293">
        <v>4</v>
      </c>
      <c r="D113" s="18">
        <f>+D96</f>
        <v>35.200000000000003</v>
      </c>
      <c r="E113" s="15">
        <f t="shared" si="4"/>
        <v>8.8000000000000007</v>
      </c>
    </row>
    <row r="114" spans="1:7" x14ac:dyDescent="0.2">
      <c r="A114" s="16" t="s">
        <v>65</v>
      </c>
      <c r="B114" s="17" t="s">
        <v>43</v>
      </c>
      <c r="C114" s="293">
        <v>6</v>
      </c>
      <c r="D114" s="18">
        <f>+D98</f>
        <v>75.5</v>
      </c>
      <c r="E114" s="15">
        <f t="shared" si="4"/>
        <v>12.583333333333334</v>
      </c>
    </row>
    <row r="115" spans="1:7" x14ac:dyDescent="0.2">
      <c r="A115" s="16" t="s">
        <v>64</v>
      </c>
      <c r="B115" s="17" t="s">
        <v>8</v>
      </c>
      <c r="C115" s="293">
        <v>6</v>
      </c>
      <c r="D115" s="18">
        <f>+D100</f>
        <v>35.5</v>
      </c>
      <c r="E115" s="15">
        <f t="shared" si="4"/>
        <v>5.916666666666667</v>
      </c>
      <c r="G115" s="9"/>
    </row>
    <row r="116" spans="1:7" x14ac:dyDescent="0.2">
      <c r="A116" s="16" t="s">
        <v>58</v>
      </c>
      <c r="B116" s="17" t="s">
        <v>44</v>
      </c>
      <c r="C116" s="293">
        <v>6</v>
      </c>
      <c r="D116" s="18">
        <f>+D103</f>
        <v>25</v>
      </c>
      <c r="E116" s="15">
        <f t="shared" si="4"/>
        <v>4.166666666666667</v>
      </c>
      <c r="G116" s="9"/>
    </row>
    <row r="117" spans="1:7" x14ac:dyDescent="0.2">
      <c r="A117" s="16" t="s">
        <v>191</v>
      </c>
      <c r="B117" s="17" t="s">
        <v>113</v>
      </c>
      <c r="C117" s="114">
        <v>1</v>
      </c>
      <c r="D117" s="85">
        <v>80</v>
      </c>
      <c r="E117" s="18">
        <f t="shared" ref="E117:E118" si="5">C117*D117</f>
        <v>80</v>
      </c>
      <c r="G117" s="9"/>
    </row>
    <row r="118" spans="1:7" ht="13.5" thickBot="1" x14ac:dyDescent="0.25">
      <c r="A118" s="16" t="s">
        <v>5</v>
      </c>
      <c r="B118" s="17" t="s">
        <v>6</v>
      </c>
      <c r="C118" s="67">
        <v>1</v>
      </c>
      <c r="D118" s="18">
        <f>+SUM(E111:E117)</f>
        <v>144.10000000000002</v>
      </c>
      <c r="E118" s="18">
        <f t="shared" si="5"/>
        <v>144.10000000000002</v>
      </c>
      <c r="G118" s="9"/>
    </row>
    <row r="119" spans="1:7" ht="13.5" thickBot="1" x14ac:dyDescent="0.25">
      <c r="D119" s="116" t="s">
        <v>188</v>
      </c>
      <c r="E119" s="48">
        <f>$B$44</f>
        <v>0.73</v>
      </c>
      <c r="F119" s="117">
        <f>E118*E119</f>
        <v>105.19300000000001</v>
      </c>
      <c r="G119" s="9"/>
    </row>
    <row r="120" spans="1:7" ht="11.25" customHeight="1" thickBot="1" x14ac:dyDescent="0.25">
      <c r="G120" s="9"/>
    </row>
    <row r="121" spans="1:7" ht="13.5" thickBot="1" x14ac:dyDescent="0.25">
      <c r="A121" s="24" t="s">
        <v>193</v>
      </c>
      <c r="B121" s="28"/>
      <c r="C121" s="28"/>
      <c r="D121" s="29"/>
      <c r="E121" s="30"/>
      <c r="F121" s="21">
        <f>+F106+F119</f>
        <v>354.9138333333334</v>
      </c>
      <c r="G121" s="9"/>
    </row>
    <row r="122" spans="1:7" ht="11.25" customHeight="1" x14ac:dyDescent="0.2">
      <c r="G122" s="9"/>
    </row>
    <row r="123" spans="1:7" x14ac:dyDescent="0.2">
      <c r="A123" s="11" t="s">
        <v>49</v>
      </c>
      <c r="G123" s="9"/>
    </row>
    <row r="124" spans="1:7" ht="11.25" customHeight="1" x14ac:dyDescent="0.2">
      <c r="B124" s="101"/>
      <c r="G124" s="9"/>
    </row>
    <row r="125" spans="1:7" x14ac:dyDescent="0.2">
      <c r="A125" s="7" t="s">
        <v>285</v>
      </c>
      <c r="G125" s="9"/>
    </row>
    <row r="126" spans="1:7" ht="11.25" customHeight="1" x14ac:dyDescent="0.2">
      <c r="G126" s="9"/>
    </row>
    <row r="127" spans="1:7" ht="13.5" thickBot="1" x14ac:dyDescent="0.25">
      <c r="A127" s="101" t="s">
        <v>41</v>
      </c>
      <c r="G127" s="9"/>
    </row>
    <row r="128" spans="1:7" ht="13.5" thickBot="1" x14ac:dyDescent="0.25">
      <c r="A128" s="58" t="s">
        <v>59</v>
      </c>
      <c r="B128" s="59" t="s">
        <v>60</v>
      </c>
      <c r="C128" s="59" t="s">
        <v>36</v>
      </c>
      <c r="D128" s="60" t="s">
        <v>234</v>
      </c>
      <c r="E128" s="60" t="s">
        <v>61</v>
      </c>
      <c r="F128" s="61" t="s">
        <v>62</v>
      </c>
      <c r="G128" s="9"/>
    </row>
    <row r="129" spans="1:10" x14ac:dyDescent="0.2">
      <c r="A129" s="13" t="s">
        <v>97</v>
      </c>
      <c r="B129" s="14" t="s">
        <v>8</v>
      </c>
      <c r="C129" s="263">
        <v>1</v>
      </c>
      <c r="D129" s="85">
        <v>203147</v>
      </c>
      <c r="E129" s="15">
        <f>C129*D129</f>
        <v>203147</v>
      </c>
      <c r="G129" s="9"/>
    </row>
    <row r="130" spans="1:10" x14ac:dyDescent="0.2">
      <c r="A130" s="16" t="s">
        <v>91</v>
      </c>
      <c r="B130" s="17" t="s">
        <v>92</v>
      </c>
      <c r="C130" s="84">
        <v>10</v>
      </c>
      <c r="D130" s="81"/>
      <c r="E130" s="18"/>
      <c r="G130" s="9"/>
    </row>
    <row r="131" spans="1:10" x14ac:dyDescent="0.2">
      <c r="A131" s="16" t="s">
        <v>205</v>
      </c>
      <c r="B131" s="17" t="s">
        <v>92</v>
      </c>
      <c r="C131" s="84">
        <v>0</v>
      </c>
      <c r="D131" s="18"/>
      <c r="E131" s="18"/>
      <c r="F131" s="20"/>
      <c r="I131" s="83"/>
      <c r="J131" s="83"/>
    </row>
    <row r="132" spans="1:10" x14ac:dyDescent="0.2">
      <c r="A132" s="16" t="s">
        <v>95</v>
      </c>
      <c r="B132" s="17" t="s">
        <v>2</v>
      </c>
      <c r="C132" s="134">
        <v>65.180000000000007</v>
      </c>
      <c r="D132" s="18">
        <f>E129</f>
        <v>203147</v>
      </c>
      <c r="E132" s="18">
        <f>C132*D132/100</f>
        <v>132411.21460000001</v>
      </c>
    </row>
    <row r="133" spans="1:10" ht="13.5" thickBot="1" x14ac:dyDescent="0.25">
      <c r="A133" s="269" t="s">
        <v>45</v>
      </c>
      <c r="B133" s="270" t="s">
        <v>7</v>
      </c>
      <c r="C133" s="270">
        <f>C130*12</f>
        <v>120</v>
      </c>
      <c r="D133" s="271">
        <f>IF(C131&lt;=C130,E132,0)</f>
        <v>132411.21460000001</v>
      </c>
      <c r="E133" s="271">
        <f>IFERROR(D133/C133,0)</f>
        <v>1103.4267883333334</v>
      </c>
    </row>
    <row r="134" spans="1:10" ht="13.5" thickTop="1" x14ac:dyDescent="0.2">
      <c r="A134" s="13" t="s">
        <v>96</v>
      </c>
      <c r="B134" s="14" t="s">
        <v>8</v>
      </c>
      <c r="C134" s="14">
        <f>C129</f>
        <v>1</v>
      </c>
      <c r="D134" s="85">
        <v>118000</v>
      </c>
      <c r="E134" s="15">
        <f>C134*D134</f>
        <v>118000</v>
      </c>
      <c r="G134" s="9"/>
    </row>
    <row r="135" spans="1:10" x14ac:dyDescent="0.2">
      <c r="A135" s="16" t="s">
        <v>93</v>
      </c>
      <c r="B135" s="17" t="s">
        <v>92</v>
      </c>
      <c r="C135" s="84">
        <v>10</v>
      </c>
      <c r="D135" s="18"/>
      <c r="E135" s="18"/>
    </row>
    <row r="136" spans="1:10" x14ac:dyDescent="0.2">
      <c r="A136" s="16" t="s">
        <v>206</v>
      </c>
      <c r="B136" s="17" t="s">
        <v>92</v>
      </c>
      <c r="C136" s="84">
        <v>0</v>
      </c>
      <c r="D136" s="18"/>
      <c r="E136" s="18"/>
      <c r="F136" s="20"/>
      <c r="I136" s="83"/>
      <c r="J136" s="83"/>
    </row>
    <row r="137" spans="1:10" x14ac:dyDescent="0.2">
      <c r="A137" s="16" t="s">
        <v>94</v>
      </c>
      <c r="B137" s="17" t="s">
        <v>2</v>
      </c>
      <c r="C137" s="135">
        <v>65.180000000000007</v>
      </c>
      <c r="D137" s="18">
        <f>E134</f>
        <v>118000</v>
      </c>
      <c r="E137" s="18">
        <f>C137*D137/100</f>
        <v>76912.400000000009</v>
      </c>
    </row>
    <row r="138" spans="1:10" x14ac:dyDescent="0.2">
      <c r="A138" s="97" t="s">
        <v>98</v>
      </c>
      <c r="B138" s="98" t="s">
        <v>7</v>
      </c>
      <c r="C138" s="98">
        <f>C135*12</f>
        <v>120</v>
      </c>
      <c r="D138" s="99">
        <f>IF(C136&lt;=C135,E137,0)</f>
        <v>76912.400000000009</v>
      </c>
      <c r="E138" s="99">
        <f>IFERROR(D138/C138,0)</f>
        <v>640.93666666666672</v>
      </c>
    </row>
    <row r="139" spans="1:10" x14ac:dyDescent="0.2">
      <c r="A139" s="110" t="s">
        <v>256</v>
      </c>
      <c r="B139" s="111"/>
      <c r="C139" s="111"/>
      <c r="D139" s="112"/>
      <c r="E139" s="113">
        <f>E133+E138</f>
        <v>1744.3634550000002</v>
      </c>
    </row>
    <row r="140" spans="1:10" ht="13.5" thickBot="1" x14ac:dyDescent="0.25">
      <c r="A140" s="97" t="s">
        <v>257</v>
      </c>
      <c r="B140" s="98" t="s">
        <v>8</v>
      </c>
      <c r="C140" s="84">
        <v>1</v>
      </c>
      <c r="D140" s="99">
        <f>E139</f>
        <v>1744.3634550000002</v>
      </c>
      <c r="E140" s="113">
        <f>C140*D140</f>
        <v>1744.3634550000002</v>
      </c>
    </row>
    <row r="141" spans="1:10" ht="13.5" thickBot="1" x14ac:dyDescent="0.25">
      <c r="A141" s="262"/>
      <c r="B141" s="262"/>
      <c r="C141" s="262"/>
      <c r="D141" s="116" t="s">
        <v>188</v>
      </c>
      <c r="E141" s="48">
        <f>$B$44</f>
        <v>0.73</v>
      </c>
      <c r="F141" s="21">
        <f>E140*E141</f>
        <v>1273.3853221500001</v>
      </c>
    </row>
    <row r="142" spans="1:10" ht="11.25" customHeight="1" x14ac:dyDescent="0.2"/>
    <row r="143" spans="1:10" ht="13.5" thickBot="1" x14ac:dyDescent="0.25">
      <c r="A143" s="101" t="s">
        <v>103</v>
      </c>
    </row>
    <row r="144" spans="1:10" ht="13.5" thickBot="1" x14ac:dyDescent="0.25">
      <c r="A144" s="103" t="s">
        <v>59</v>
      </c>
      <c r="B144" s="104" t="s">
        <v>60</v>
      </c>
      <c r="C144" s="104" t="s">
        <v>36</v>
      </c>
      <c r="D144" s="60" t="s">
        <v>234</v>
      </c>
      <c r="E144" s="105" t="s">
        <v>61</v>
      </c>
      <c r="F144" s="61" t="s">
        <v>62</v>
      </c>
      <c r="I144" s="83"/>
      <c r="J144" s="83"/>
    </row>
    <row r="145" spans="1:10" x14ac:dyDescent="0.2">
      <c r="A145" s="16" t="s">
        <v>101</v>
      </c>
      <c r="B145" s="17" t="s">
        <v>8</v>
      </c>
      <c r="C145" s="263">
        <v>1</v>
      </c>
      <c r="D145" s="18">
        <f>D129</f>
        <v>203147</v>
      </c>
      <c r="E145" s="18">
        <f>C145*D145</f>
        <v>203147</v>
      </c>
      <c r="F145" s="20"/>
      <c r="I145" s="83"/>
      <c r="J145" s="83"/>
    </row>
    <row r="146" spans="1:10" x14ac:dyDescent="0.2">
      <c r="A146" s="16" t="s">
        <v>209</v>
      </c>
      <c r="B146" s="17" t="s">
        <v>2</v>
      </c>
      <c r="C146" s="84">
        <v>6.5</v>
      </c>
      <c r="D146" s="18"/>
      <c r="E146" s="18"/>
      <c r="F146" s="20"/>
      <c r="I146" s="83"/>
      <c r="J146" s="83"/>
    </row>
    <row r="147" spans="1:10" x14ac:dyDescent="0.2">
      <c r="A147" s="16" t="s">
        <v>207</v>
      </c>
      <c r="B147" s="17" t="s">
        <v>31</v>
      </c>
      <c r="C147" s="142">
        <f>IFERROR(IF(C131&lt;=C130,E129-(C132/(100*C130)*C131)*E129,E129-E132),0)</f>
        <v>203147</v>
      </c>
      <c r="D147" s="18"/>
      <c r="E147" s="18"/>
      <c r="F147" s="20"/>
      <c r="I147" s="83"/>
      <c r="J147" s="83"/>
    </row>
    <row r="148" spans="1:10" x14ac:dyDescent="0.2">
      <c r="A148" s="16" t="s">
        <v>106</v>
      </c>
      <c r="B148" s="17" t="s">
        <v>31</v>
      </c>
      <c r="C148" s="81">
        <f>IFERROR(IF(C131&gt;=C130,C147,((((C147)-(E129-E132))*(((C130-C131)+1)/(2*(C130-C131))))+(E129-E132))),0)</f>
        <v>143561.95342999999</v>
      </c>
      <c r="D148" s="18"/>
      <c r="E148" s="18"/>
      <c r="F148" s="20"/>
      <c r="I148" s="83"/>
      <c r="J148" s="83"/>
    </row>
    <row r="149" spans="1:10" ht="13.5" thickBot="1" x14ac:dyDescent="0.25">
      <c r="A149" s="269" t="s">
        <v>107</v>
      </c>
      <c r="B149" s="270" t="s">
        <v>31</v>
      </c>
      <c r="C149" s="270"/>
      <c r="D149" s="272">
        <f>C146*C148/12/100</f>
        <v>777.6272477458333</v>
      </c>
      <c r="E149" s="271">
        <f>D149</f>
        <v>777.6272477458333</v>
      </c>
      <c r="F149" s="20"/>
      <c r="I149" s="83"/>
      <c r="J149" s="83"/>
    </row>
    <row r="150" spans="1:10" ht="13.5" thickTop="1" x14ac:dyDescent="0.2">
      <c r="A150" s="13" t="s">
        <v>102</v>
      </c>
      <c r="B150" s="14" t="s">
        <v>8</v>
      </c>
      <c r="C150" s="14">
        <f>C134</f>
        <v>1</v>
      </c>
      <c r="D150" s="15">
        <f>D134</f>
        <v>118000</v>
      </c>
      <c r="E150" s="15">
        <f>C150*D150</f>
        <v>118000</v>
      </c>
      <c r="F150" s="20"/>
      <c r="I150" s="83"/>
      <c r="J150" s="83"/>
    </row>
    <row r="151" spans="1:10" x14ac:dyDescent="0.2">
      <c r="A151" s="16" t="s">
        <v>209</v>
      </c>
      <c r="B151" s="17" t="s">
        <v>2</v>
      </c>
      <c r="C151" s="264">
        <f>C146</f>
        <v>6.5</v>
      </c>
      <c r="D151" s="18"/>
      <c r="E151" s="18"/>
      <c r="F151" s="20"/>
      <c r="I151" s="83"/>
      <c r="J151" s="83"/>
    </row>
    <row r="152" spans="1:10" x14ac:dyDescent="0.2">
      <c r="A152" s="16" t="s">
        <v>208</v>
      </c>
      <c r="B152" s="17" t="s">
        <v>31</v>
      </c>
      <c r="C152" s="142">
        <f>IFERROR(IF(C136&lt;=C135,E134-(C137/(100*C135)*C136)*E134,E134-E137),0)</f>
        <v>118000</v>
      </c>
      <c r="D152" s="18"/>
      <c r="E152" s="18"/>
      <c r="F152" s="20"/>
      <c r="I152" s="83"/>
      <c r="J152" s="83"/>
    </row>
    <row r="153" spans="1:10" x14ac:dyDescent="0.2">
      <c r="A153" s="16" t="s">
        <v>108</v>
      </c>
      <c r="B153" s="17" t="s">
        <v>31</v>
      </c>
      <c r="C153" s="81">
        <f>IFERROR(IF(C136&gt;=C135,C152,((((C152)-(E134-E137))*(((C135-C136)+1)/(2*(C135-C136))))+(E134-E137))),0)</f>
        <v>83389.42</v>
      </c>
      <c r="D153" s="18"/>
      <c r="E153" s="18"/>
      <c r="F153" s="20"/>
      <c r="I153" s="83"/>
      <c r="J153" s="83"/>
    </row>
    <row r="154" spans="1:10" x14ac:dyDescent="0.2">
      <c r="A154" s="97" t="s">
        <v>105</v>
      </c>
      <c r="B154" s="98" t="s">
        <v>31</v>
      </c>
      <c r="C154" s="98"/>
      <c r="D154" s="107">
        <f>C151*C153/12/100</f>
        <v>451.69269166666663</v>
      </c>
      <c r="E154" s="99">
        <f>D154</f>
        <v>451.69269166666663</v>
      </c>
      <c r="F154" s="20"/>
      <c r="I154" s="83"/>
      <c r="J154" s="83"/>
    </row>
    <row r="155" spans="1:10" x14ac:dyDescent="0.2">
      <c r="A155" s="110" t="s">
        <v>256</v>
      </c>
      <c r="B155" s="111"/>
      <c r="C155" s="111"/>
      <c r="D155" s="112"/>
      <c r="E155" s="113">
        <f>E149+E154</f>
        <v>1229.3199394124999</v>
      </c>
      <c r="F155" s="20"/>
      <c r="I155" s="83"/>
      <c r="J155" s="83"/>
    </row>
    <row r="156" spans="1:10" ht="13.5" thickBot="1" x14ac:dyDescent="0.25">
      <c r="A156" s="97" t="s">
        <v>257</v>
      </c>
      <c r="B156" s="98" t="s">
        <v>8</v>
      </c>
      <c r="C156" s="264">
        <v>1</v>
      </c>
      <c r="D156" s="99">
        <f>E155</f>
        <v>1229.3199394124999</v>
      </c>
      <c r="E156" s="113">
        <f>C156*D156</f>
        <v>1229.3199394124999</v>
      </c>
      <c r="F156" s="20"/>
      <c r="I156" s="83"/>
      <c r="J156" s="83"/>
    </row>
    <row r="157" spans="1:10" ht="13.5" thickBot="1" x14ac:dyDescent="0.25">
      <c r="C157" s="19"/>
      <c r="D157" s="116" t="s">
        <v>188</v>
      </c>
      <c r="E157" s="48">
        <f>$B$44</f>
        <v>0.73</v>
      </c>
      <c r="F157" s="21">
        <f>E156*E157</f>
        <v>897.40355577112496</v>
      </c>
      <c r="I157" s="83"/>
      <c r="J157" s="83"/>
    </row>
    <row r="158" spans="1:10" ht="11.25" customHeight="1" x14ac:dyDescent="0.2">
      <c r="I158" s="83"/>
      <c r="J158" s="83"/>
    </row>
    <row r="159" spans="1:10" ht="13.5" thickBot="1" x14ac:dyDescent="0.25">
      <c r="A159" s="9" t="s">
        <v>46</v>
      </c>
      <c r="I159" s="83"/>
      <c r="J159" s="83"/>
    </row>
    <row r="160" spans="1:10" ht="13.5" thickBot="1" x14ac:dyDescent="0.25">
      <c r="A160" s="58" t="s">
        <v>59</v>
      </c>
      <c r="B160" s="59" t="s">
        <v>60</v>
      </c>
      <c r="C160" s="59" t="s">
        <v>36</v>
      </c>
      <c r="D160" s="60" t="s">
        <v>234</v>
      </c>
      <c r="E160" s="60" t="s">
        <v>61</v>
      </c>
      <c r="F160" s="61" t="s">
        <v>62</v>
      </c>
      <c r="I160" s="83"/>
      <c r="J160" s="83"/>
    </row>
    <row r="161" spans="1:10" x14ac:dyDescent="0.2">
      <c r="A161" s="13" t="s">
        <v>10</v>
      </c>
      <c r="B161" s="14" t="s">
        <v>8</v>
      </c>
      <c r="C161" s="15">
        <f>C140</f>
        <v>1</v>
      </c>
      <c r="D161" s="15">
        <f>0.01*($E$129)</f>
        <v>2031.47</v>
      </c>
      <c r="E161" s="15">
        <f>C161*D161</f>
        <v>2031.47</v>
      </c>
      <c r="I161" s="83"/>
      <c r="J161" s="83"/>
    </row>
    <row r="162" spans="1:10" x14ac:dyDescent="0.2">
      <c r="A162" s="16" t="s">
        <v>187</v>
      </c>
      <c r="B162" s="17" t="s">
        <v>8</v>
      </c>
      <c r="C162" s="15">
        <f>C140</f>
        <v>1</v>
      </c>
      <c r="D162" s="87">
        <f>47.66+81.77</f>
        <v>129.43</v>
      </c>
      <c r="E162" s="18">
        <f>C162*D162</f>
        <v>129.43</v>
      </c>
      <c r="I162" s="83"/>
      <c r="J162" s="83"/>
    </row>
    <row r="163" spans="1:10" x14ac:dyDescent="0.2">
      <c r="A163" s="16" t="s">
        <v>11</v>
      </c>
      <c r="B163" s="17" t="s">
        <v>8</v>
      </c>
      <c r="C163" s="15">
        <f>C140</f>
        <v>1</v>
      </c>
      <c r="D163" s="87">
        <v>1600</v>
      </c>
      <c r="E163" s="18">
        <f>C163*D163</f>
        <v>1600</v>
      </c>
      <c r="F163" s="31"/>
      <c r="I163" s="83"/>
      <c r="J163" s="83"/>
    </row>
    <row r="164" spans="1:10" ht="13.5" thickBot="1" x14ac:dyDescent="0.25">
      <c r="A164" s="97" t="s">
        <v>12</v>
      </c>
      <c r="B164" s="98" t="s">
        <v>7</v>
      </c>
      <c r="C164" s="98">
        <v>12</v>
      </c>
      <c r="D164" s="99">
        <f>SUM(E161:E163)</f>
        <v>3760.9</v>
      </c>
      <c r="E164" s="99">
        <f>D164/C164</f>
        <v>313.40833333333336</v>
      </c>
      <c r="I164" s="83"/>
      <c r="J164" s="83"/>
    </row>
    <row r="165" spans="1:10" ht="13.5" thickBot="1" x14ac:dyDescent="0.25">
      <c r="D165" s="116" t="s">
        <v>188</v>
      </c>
      <c r="E165" s="48">
        <f>$B$44</f>
        <v>0.73</v>
      </c>
      <c r="F165" s="117">
        <f>E164*E165</f>
        <v>228.78808333333336</v>
      </c>
      <c r="I165" s="83"/>
      <c r="J165" s="83"/>
    </row>
    <row r="166" spans="1:10" ht="11.25" customHeight="1" x14ac:dyDescent="0.2">
      <c r="I166" s="83"/>
      <c r="J166" s="83"/>
    </row>
    <row r="167" spans="1:10" x14ac:dyDescent="0.2">
      <c r="A167" s="9" t="s">
        <v>47</v>
      </c>
      <c r="B167" s="32"/>
      <c r="I167" s="83"/>
      <c r="J167" s="83"/>
    </row>
    <row r="168" spans="1:10" x14ac:dyDescent="0.2">
      <c r="B168" s="32"/>
      <c r="I168" s="83"/>
      <c r="J168" s="83"/>
    </row>
    <row r="169" spans="1:10" x14ac:dyDescent="0.2">
      <c r="A169" s="97" t="s">
        <v>110</v>
      </c>
      <c r="B169" s="108">
        <v>3120</v>
      </c>
      <c r="I169" s="83"/>
      <c r="J169" s="83"/>
    </row>
    <row r="170" spans="1:10" ht="13.5" thickBot="1" x14ac:dyDescent="0.25">
      <c r="B170" s="32"/>
      <c r="I170" s="83"/>
      <c r="J170" s="83"/>
    </row>
    <row r="171" spans="1:10" ht="13.5" thickBot="1" x14ac:dyDescent="0.25">
      <c r="A171" s="58" t="s">
        <v>59</v>
      </c>
      <c r="B171" s="59" t="s">
        <v>60</v>
      </c>
      <c r="C171" s="59" t="s">
        <v>255</v>
      </c>
      <c r="D171" s="60" t="s">
        <v>234</v>
      </c>
      <c r="E171" s="60" t="s">
        <v>61</v>
      </c>
      <c r="F171" s="61" t="s">
        <v>62</v>
      </c>
      <c r="I171" s="83"/>
      <c r="J171" s="83"/>
    </row>
    <row r="172" spans="1:10" x14ac:dyDescent="0.2">
      <c r="A172" s="13" t="s">
        <v>13</v>
      </c>
      <c r="B172" s="14" t="s">
        <v>14</v>
      </c>
      <c r="C172" s="92">
        <v>2.5</v>
      </c>
      <c r="D172" s="93">
        <v>3.42</v>
      </c>
      <c r="E172" s="15"/>
      <c r="I172" s="83"/>
      <c r="J172" s="83"/>
    </row>
    <row r="173" spans="1:10" x14ac:dyDescent="0.2">
      <c r="A173" s="16" t="s">
        <v>15</v>
      </c>
      <c r="B173" s="17" t="s">
        <v>16</v>
      </c>
      <c r="C173" s="89">
        <f>B169</f>
        <v>3120</v>
      </c>
      <c r="D173" s="261">
        <f>IFERROR(+D172/C172,"-")</f>
        <v>1.3679999999999999</v>
      </c>
      <c r="E173" s="18">
        <f>IFERROR(C173*D173,"-")</f>
        <v>4268.16</v>
      </c>
      <c r="I173" s="83"/>
      <c r="J173" s="83"/>
    </row>
    <row r="174" spans="1:10" x14ac:dyDescent="0.2">
      <c r="A174" s="16" t="s">
        <v>235</v>
      </c>
      <c r="B174" s="17" t="s">
        <v>17</v>
      </c>
      <c r="C174" s="95">
        <v>6</v>
      </c>
      <c r="D174" s="87">
        <v>8.5</v>
      </c>
      <c r="E174" s="18"/>
      <c r="G174" s="106"/>
      <c r="H174" s="50"/>
      <c r="I174" s="83"/>
      <c r="J174" s="83"/>
    </row>
    <row r="175" spans="1:10" x14ac:dyDescent="0.2">
      <c r="A175" s="16" t="s">
        <v>18</v>
      </c>
      <c r="B175" s="17" t="s">
        <v>16</v>
      </c>
      <c r="C175" s="89">
        <f>C173</f>
        <v>3120</v>
      </c>
      <c r="D175" s="258">
        <f>+C174*D174/1000</f>
        <v>5.0999999999999997E-2</v>
      </c>
      <c r="E175" s="18">
        <f>C175*D175</f>
        <v>159.11999999999998</v>
      </c>
      <c r="G175" s="106"/>
      <c r="H175" s="50"/>
      <c r="I175" s="83"/>
      <c r="J175" s="83"/>
    </row>
    <row r="176" spans="1:10" x14ac:dyDescent="0.2">
      <c r="A176" s="16" t="s">
        <v>236</v>
      </c>
      <c r="B176" s="17" t="s">
        <v>17</v>
      </c>
      <c r="C176" s="95">
        <v>0.85</v>
      </c>
      <c r="D176" s="87">
        <v>9.5</v>
      </c>
      <c r="E176" s="18"/>
      <c r="G176" s="106"/>
      <c r="H176" s="50"/>
      <c r="I176" s="83"/>
      <c r="J176" s="83"/>
    </row>
    <row r="177" spans="1:10" x14ac:dyDescent="0.2">
      <c r="A177" s="16" t="s">
        <v>19</v>
      </c>
      <c r="B177" s="17" t="s">
        <v>16</v>
      </c>
      <c r="C177" s="89">
        <f>C173</f>
        <v>3120</v>
      </c>
      <c r="D177" s="258">
        <f>+C176*D176/1000</f>
        <v>8.0749999999999988E-3</v>
      </c>
      <c r="E177" s="18">
        <f>C177*D177</f>
        <v>25.193999999999996</v>
      </c>
      <c r="G177" s="106"/>
      <c r="H177" s="50"/>
      <c r="I177" s="83"/>
      <c r="J177" s="83"/>
    </row>
    <row r="178" spans="1:10" x14ac:dyDescent="0.2">
      <c r="A178" s="16" t="s">
        <v>237</v>
      </c>
      <c r="B178" s="17" t="s">
        <v>17</v>
      </c>
      <c r="C178" s="95">
        <v>5</v>
      </c>
      <c r="D178" s="87">
        <v>9.5</v>
      </c>
      <c r="E178" s="18"/>
      <c r="G178" s="106"/>
      <c r="H178" s="50"/>
      <c r="I178" s="83"/>
      <c r="J178" s="83"/>
    </row>
    <row r="179" spans="1:10" x14ac:dyDescent="0.2">
      <c r="A179" s="16" t="s">
        <v>20</v>
      </c>
      <c r="B179" s="17" t="s">
        <v>16</v>
      </c>
      <c r="C179" s="89">
        <f>C173</f>
        <v>3120</v>
      </c>
      <c r="D179" s="258">
        <f>+C178*D178/1000</f>
        <v>4.7500000000000001E-2</v>
      </c>
      <c r="E179" s="18">
        <f>C179*D179</f>
        <v>148.19999999999999</v>
      </c>
      <c r="G179" s="106"/>
      <c r="H179" s="50"/>
      <c r="I179" s="83"/>
      <c r="J179" s="83"/>
    </row>
    <row r="180" spans="1:10" x14ac:dyDescent="0.2">
      <c r="A180" s="16" t="s">
        <v>21</v>
      </c>
      <c r="B180" s="17" t="s">
        <v>22</v>
      </c>
      <c r="C180" s="95">
        <v>2</v>
      </c>
      <c r="D180" s="87">
        <v>10</v>
      </c>
      <c r="E180" s="18"/>
      <c r="G180" s="106"/>
      <c r="H180" s="50"/>
      <c r="I180" s="83"/>
      <c r="J180" s="83"/>
    </row>
    <row r="181" spans="1:10" x14ac:dyDescent="0.2">
      <c r="A181" s="16" t="s">
        <v>23</v>
      </c>
      <c r="B181" s="17" t="s">
        <v>16</v>
      </c>
      <c r="C181" s="89">
        <f>C173</f>
        <v>3120</v>
      </c>
      <c r="D181" s="258">
        <f>+C180*D180/1000</f>
        <v>0.02</v>
      </c>
      <c r="E181" s="18">
        <f>C181*D181</f>
        <v>62.4</v>
      </c>
      <c r="G181" s="106"/>
      <c r="H181" s="50"/>
      <c r="I181" s="83"/>
      <c r="J181" s="83"/>
    </row>
    <row r="182" spans="1:10" ht="13.5" thickBot="1" x14ac:dyDescent="0.25">
      <c r="A182" s="97" t="s">
        <v>254</v>
      </c>
      <c r="B182" s="98" t="s">
        <v>111</v>
      </c>
      <c r="C182" s="259"/>
      <c r="D182" s="260">
        <f>IFERROR(D173+D175+D177+D179+D181,0)</f>
        <v>1.494575</v>
      </c>
      <c r="E182" s="18"/>
      <c r="G182" s="106"/>
      <c r="H182" s="50"/>
      <c r="I182" s="83"/>
      <c r="J182" s="83"/>
    </row>
    <row r="183" spans="1:10" ht="13.5" thickBot="1" x14ac:dyDescent="0.25">
      <c r="F183" s="21">
        <f>SUM(E172:E181)</f>
        <v>4663.0739999999996</v>
      </c>
      <c r="I183" s="83"/>
      <c r="J183" s="83"/>
    </row>
    <row r="184" spans="1:10" ht="11.25" customHeight="1" x14ac:dyDescent="0.2">
      <c r="I184" s="83"/>
      <c r="J184" s="83"/>
    </row>
    <row r="185" spans="1:10" ht="13.5" thickBot="1" x14ac:dyDescent="0.25">
      <c r="A185" s="9" t="s">
        <v>48</v>
      </c>
      <c r="I185" s="83"/>
      <c r="J185" s="83"/>
    </row>
    <row r="186" spans="1:10" ht="13.5" thickBot="1" x14ac:dyDescent="0.25">
      <c r="A186" s="58" t="s">
        <v>59</v>
      </c>
      <c r="B186" s="59" t="s">
        <v>60</v>
      </c>
      <c r="C186" s="59" t="s">
        <v>36</v>
      </c>
      <c r="D186" s="60" t="s">
        <v>234</v>
      </c>
      <c r="E186" s="60" t="s">
        <v>61</v>
      </c>
      <c r="F186" s="61" t="s">
        <v>62</v>
      </c>
      <c r="I186" s="83"/>
      <c r="J186" s="83"/>
    </row>
    <row r="187" spans="1:10" ht="13.5" thickBot="1" x14ac:dyDescent="0.25">
      <c r="A187" s="13" t="s">
        <v>109</v>
      </c>
      <c r="B187" s="14" t="s">
        <v>111</v>
      </c>
      <c r="C187" s="89">
        <f>C173</f>
        <v>3120</v>
      </c>
      <c r="D187" s="85">
        <v>0.74</v>
      </c>
      <c r="E187" s="15">
        <f>C187*D187</f>
        <v>2308.8000000000002</v>
      </c>
      <c r="I187" s="83"/>
      <c r="J187" s="83"/>
    </row>
    <row r="188" spans="1:10" ht="13.5" thickBot="1" x14ac:dyDescent="0.25">
      <c r="F188" s="21">
        <f>E187</f>
        <v>2308.8000000000002</v>
      </c>
      <c r="I188" s="83"/>
      <c r="J188" s="83"/>
    </row>
    <row r="189" spans="1:10" ht="11.25" customHeight="1" x14ac:dyDescent="0.2">
      <c r="I189" s="83"/>
      <c r="J189" s="83"/>
    </row>
    <row r="190" spans="1:10" ht="13.5" thickBot="1" x14ac:dyDescent="0.25">
      <c r="A190" s="9" t="s">
        <v>57</v>
      </c>
      <c r="I190" s="83"/>
      <c r="J190" s="83"/>
    </row>
    <row r="191" spans="1:10" ht="13.5" thickBot="1" x14ac:dyDescent="0.25">
      <c r="A191" s="58" t="s">
        <v>59</v>
      </c>
      <c r="B191" s="59" t="s">
        <v>60</v>
      </c>
      <c r="C191" s="59" t="s">
        <v>36</v>
      </c>
      <c r="D191" s="60" t="s">
        <v>234</v>
      </c>
      <c r="E191" s="60" t="s">
        <v>61</v>
      </c>
      <c r="F191" s="61" t="s">
        <v>62</v>
      </c>
      <c r="I191" s="83"/>
      <c r="J191" s="83"/>
    </row>
    <row r="192" spans="1:10" x14ac:dyDescent="0.2">
      <c r="A192" s="298" t="s">
        <v>286</v>
      </c>
      <c r="B192" s="14" t="s">
        <v>8</v>
      </c>
      <c r="C192" s="91">
        <v>6</v>
      </c>
      <c r="D192" s="85">
        <v>1700</v>
      </c>
      <c r="E192" s="15">
        <f>C192*D192</f>
        <v>10200</v>
      </c>
      <c r="I192" s="83"/>
      <c r="J192" s="83"/>
    </row>
    <row r="193" spans="1:10" x14ac:dyDescent="0.2">
      <c r="A193" s="13" t="s">
        <v>112</v>
      </c>
      <c r="B193" s="14" t="s">
        <v>8</v>
      </c>
      <c r="C193" s="91">
        <v>0</v>
      </c>
      <c r="D193" s="100"/>
      <c r="E193" s="15"/>
      <c r="I193" s="83"/>
      <c r="J193" s="83"/>
    </row>
    <row r="194" spans="1:10" x14ac:dyDescent="0.2">
      <c r="A194" s="13" t="s">
        <v>66</v>
      </c>
      <c r="B194" s="14" t="s">
        <v>8</v>
      </c>
      <c r="C194" s="15">
        <f>C192*C193</f>
        <v>0</v>
      </c>
      <c r="D194" s="85"/>
      <c r="E194" s="15">
        <f>C194*D194</f>
        <v>0</v>
      </c>
      <c r="I194" s="83"/>
      <c r="J194" s="83"/>
    </row>
    <row r="195" spans="1:10" x14ac:dyDescent="0.2">
      <c r="A195" s="299" t="s">
        <v>318</v>
      </c>
      <c r="B195" s="17" t="s">
        <v>24</v>
      </c>
      <c r="C195" s="94">
        <v>60000</v>
      </c>
      <c r="D195" s="18">
        <f>E192+E194</f>
        <v>10200</v>
      </c>
      <c r="E195" s="18">
        <f>IFERROR(D195/C195,"-")</f>
        <v>0.17</v>
      </c>
      <c r="I195" s="83"/>
      <c r="J195" s="83"/>
    </row>
    <row r="196" spans="1:10" ht="13.5" thickBot="1" x14ac:dyDescent="0.25">
      <c r="A196" s="16" t="s">
        <v>50</v>
      </c>
      <c r="B196" s="17" t="s">
        <v>16</v>
      </c>
      <c r="C196" s="89">
        <f>B169</f>
        <v>3120</v>
      </c>
      <c r="D196" s="18">
        <f>E195</f>
        <v>0.17</v>
      </c>
      <c r="E196" s="18">
        <f>IFERROR(C196*D196,0)</f>
        <v>530.40000000000009</v>
      </c>
      <c r="I196" s="83"/>
      <c r="J196" s="83"/>
    </row>
    <row r="197" spans="1:10" ht="13.5" thickBot="1" x14ac:dyDescent="0.25">
      <c r="F197" s="21">
        <f>E196</f>
        <v>530.40000000000009</v>
      </c>
      <c r="I197" s="83"/>
      <c r="J197" s="83"/>
    </row>
    <row r="198" spans="1:10" ht="11.25" customHeight="1" x14ac:dyDescent="0.2">
      <c r="I198" s="83"/>
      <c r="J198" s="83"/>
    </row>
    <row r="199" spans="1:10" ht="11.25" customHeight="1" thickBot="1" x14ac:dyDescent="0.25">
      <c r="A199" s="7" t="s">
        <v>291</v>
      </c>
      <c r="B199" s="7"/>
      <c r="C199" s="7"/>
      <c r="D199" s="300"/>
      <c r="E199" s="300"/>
      <c r="F199" s="300"/>
      <c r="I199" s="83"/>
      <c r="J199" s="83"/>
    </row>
    <row r="200" spans="1:10" ht="11.25" customHeight="1" thickBot="1" x14ac:dyDescent="0.25">
      <c r="A200" s="58" t="s">
        <v>59</v>
      </c>
      <c r="B200" s="59" t="s">
        <v>60</v>
      </c>
      <c r="C200" s="59" t="s">
        <v>36</v>
      </c>
      <c r="D200" s="60" t="s">
        <v>234</v>
      </c>
      <c r="E200" s="60" t="s">
        <v>61</v>
      </c>
      <c r="F200" s="61" t="s">
        <v>62</v>
      </c>
      <c r="I200" s="83"/>
      <c r="J200" s="83"/>
    </row>
    <row r="201" spans="1:10" ht="27" customHeight="1" thickBot="1" x14ac:dyDescent="0.25">
      <c r="A201" s="304" t="s">
        <v>302</v>
      </c>
      <c r="B201" s="301" t="s">
        <v>8</v>
      </c>
      <c r="C201" s="302">
        <v>40</v>
      </c>
      <c r="D201" s="294">
        <v>120</v>
      </c>
      <c r="E201" s="303">
        <f>C201*D201</f>
        <v>4800</v>
      </c>
      <c r="F201" s="300"/>
      <c r="I201" s="83"/>
      <c r="J201" s="83"/>
    </row>
    <row r="202" spans="1:10" ht="11.25" customHeight="1" thickBot="1" x14ac:dyDescent="0.25">
      <c r="A202" s="7"/>
      <c r="B202" s="7"/>
      <c r="C202" s="7"/>
      <c r="D202" s="300"/>
      <c r="E202" s="300"/>
      <c r="F202" s="21">
        <f>E201</f>
        <v>4800</v>
      </c>
      <c r="I202" s="83"/>
      <c r="J202" s="83"/>
    </row>
    <row r="203" spans="1:10" ht="11.25" customHeight="1" thickBot="1" x14ac:dyDescent="0.25">
      <c r="I203" s="83"/>
      <c r="J203" s="83"/>
    </row>
    <row r="204" spans="1:10" ht="13.5" thickBot="1" x14ac:dyDescent="0.25">
      <c r="A204" s="24" t="s">
        <v>222</v>
      </c>
      <c r="B204" s="25"/>
      <c r="C204" s="25"/>
      <c r="D204" s="26"/>
      <c r="E204" s="27"/>
      <c r="F204" s="21">
        <f>+SUM(F129:F203)</f>
        <v>14701.850961254457</v>
      </c>
      <c r="G204" s="9"/>
    </row>
    <row r="205" spans="1:10" ht="11.25" customHeight="1" x14ac:dyDescent="0.2">
      <c r="G205" s="9"/>
    </row>
    <row r="206" spans="1:10" x14ac:dyDescent="0.2">
      <c r="A206" s="34" t="s">
        <v>69</v>
      </c>
      <c r="B206" s="34"/>
      <c r="C206" s="34"/>
      <c r="D206" s="35"/>
      <c r="E206" s="35"/>
      <c r="F206" s="33"/>
      <c r="G206" s="9"/>
    </row>
    <row r="207" spans="1:10" ht="11.25" customHeight="1" thickBot="1" x14ac:dyDescent="0.25">
      <c r="G207" s="9"/>
    </row>
    <row r="208" spans="1:10" ht="13.5" thickBot="1" x14ac:dyDescent="0.25">
      <c r="A208" s="58" t="s">
        <v>59</v>
      </c>
      <c r="B208" s="59" t="s">
        <v>60</v>
      </c>
      <c r="C208" s="59" t="s">
        <v>36</v>
      </c>
      <c r="D208" s="60" t="s">
        <v>234</v>
      </c>
      <c r="E208" s="60" t="s">
        <v>61</v>
      </c>
      <c r="F208" s="61" t="s">
        <v>62</v>
      </c>
      <c r="G208" s="9"/>
    </row>
    <row r="209" spans="1:7" x14ac:dyDescent="0.2">
      <c r="A209" s="16" t="s">
        <v>67</v>
      </c>
      <c r="B209" s="17" t="s">
        <v>8</v>
      </c>
      <c r="C209" s="296">
        <v>8.3333333333333329E-2</v>
      </c>
      <c r="D209" s="294">
        <v>25</v>
      </c>
      <c r="E209" s="18">
        <f>C209*D209</f>
        <v>2.083333333333333</v>
      </c>
      <c r="F209" s="53"/>
      <c r="G209" s="9"/>
    </row>
    <row r="210" spans="1:7" x14ac:dyDescent="0.2">
      <c r="A210" s="16" t="s">
        <v>25</v>
      </c>
      <c r="B210" s="17" t="s">
        <v>8</v>
      </c>
      <c r="C210" s="296">
        <v>0.16666666666666666</v>
      </c>
      <c r="D210" s="294">
        <v>25</v>
      </c>
      <c r="E210" s="18">
        <f>C210*D210</f>
        <v>4.1666666666666661</v>
      </c>
      <c r="F210" s="53"/>
      <c r="G210" s="9"/>
    </row>
    <row r="211" spans="1:7" x14ac:dyDescent="0.2">
      <c r="A211" s="16" t="s">
        <v>26</v>
      </c>
      <c r="B211" s="17" t="s">
        <v>8</v>
      </c>
      <c r="C211" s="296">
        <v>0.5</v>
      </c>
      <c r="D211" s="294">
        <v>20</v>
      </c>
      <c r="E211" s="18">
        <f>C211*D211</f>
        <v>10</v>
      </c>
      <c r="F211" s="53"/>
      <c r="G211" s="9"/>
    </row>
    <row r="212" spans="1:7" x14ac:dyDescent="0.2">
      <c r="A212" s="16" t="s">
        <v>52</v>
      </c>
      <c r="B212" s="17" t="s">
        <v>53</v>
      </c>
      <c r="C212" s="296">
        <v>8.3333333333333329E-2</v>
      </c>
      <c r="D212" s="294">
        <v>200</v>
      </c>
      <c r="E212" s="18">
        <f>C212*D212</f>
        <v>16.666666666666664</v>
      </c>
      <c r="F212" s="53"/>
      <c r="G212" s="9"/>
    </row>
    <row r="213" spans="1:7" ht="13.5" thickBot="1" x14ac:dyDescent="0.25">
      <c r="A213" s="16" t="s">
        <v>55</v>
      </c>
      <c r="B213" s="17" t="s">
        <v>53</v>
      </c>
      <c r="C213" s="296">
        <v>8.3333333333333329E-2</v>
      </c>
      <c r="D213" s="294">
        <v>50</v>
      </c>
      <c r="E213" s="18">
        <f>C213*D213</f>
        <v>4.1666666666666661</v>
      </c>
      <c r="F213" s="53"/>
      <c r="G213" s="9"/>
    </row>
    <row r="214" spans="1:7" ht="13.5" thickBot="1" x14ac:dyDescent="0.25">
      <c r="A214" s="34"/>
      <c r="B214" s="34"/>
      <c r="C214" s="34"/>
      <c r="D214" s="34"/>
      <c r="E214" s="35"/>
      <c r="F214" s="21">
        <f>SUM(E209:E213)</f>
        <v>37.083333333333329</v>
      </c>
      <c r="G214" s="9"/>
    </row>
    <row r="215" spans="1:7" ht="11.25" customHeight="1" thickBot="1" x14ac:dyDescent="0.25">
      <c r="G215" s="9"/>
    </row>
    <row r="216" spans="1:7" ht="13.5" thickBot="1" x14ac:dyDescent="0.25">
      <c r="A216" s="24" t="s">
        <v>223</v>
      </c>
      <c r="B216" s="25"/>
      <c r="C216" s="25"/>
      <c r="D216" s="26"/>
      <c r="E216" s="27"/>
      <c r="F216" s="21">
        <f>+F214</f>
        <v>37.083333333333329</v>
      </c>
      <c r="G216" s="9"/>
    </row>
    <row r="217" spans="1:7" ht="11.25" customHeight="1" x14ac:dyDescent="0.2">
      <c r="G217" s="9"/>
    </row>
    <row r="218" spans="1:7" x14ac:dyDescent="0.2">
      <c r="A218" s="34" t="s">
        <v>70</v>
      </c>
      <c r="B218" s="34"/>
      <c r="C218" s="34"/>
      <c r="D218" s="35"/>
      <c r="E218" s="35"/>
      <c r="F218" s="33"/>
    </row>
    <row r="219" spans="1:7" ht="11.25" customHeight="1" thickBot="1" x14ac:dyDescent="0.25"/>
    <row r="220" spans="1:7" ht="13.5" thickBot="1" x14ac:dyDescent="0.25">
      <c r="A220" s="58" t="s">
        <v>59</v>
      </c>
      <c r="B220" s="59" t="s">
        <v>60</v>
      </c>
      <c r="C220" s="59" t="s">
        <v>36</v>
      </c>
      <c r="D220" s="60" t="s">
        <v>234</v>
      </c>
      <c r="E220" s="60" t="s">
        <v>61</v>
      </c>
      <c r="F220" s="61" t="s">
        <v>62</v>
      </c>
    </row>
    <row r="221" spans="1:7" x14ac:dyDescent="0.2">
      <c r="A221" s="16" t="s">
        <v>220</v>
      </c>
      <c r="B221" s="51" t="s">
        <v>53</v>
      </c>
      <c r="C221" s="67">
        <f>C129</f>
        <v>1</v>
      </c>
      <c r="D221" s="87">
        <v>50</v>
      </c>
      <c r="E221" s="18">
        <f>+D221*C221</f>
        <v>50</v>
      </c>
      <c r="F221" s="53"/>
    </row>
    <row r="222" spans="1:7" x14ac:dyDescent="0.2">
      <c r="A222" s="16" t="s">
        <v>56</v>
      </c>
      <c r="B222" s="51" t="s">
        <v>7</v>
      </c>
      <c r="C222" s="148">
        <v>60</v>
      </c>
      <c r="D222" s="78">
        <f>SUM(E221:E221)</f>
        <v>50</v>
      </c>
      <c r="E222" s="78">
        <f>+D222/C222</f>
        <v>0.83333333333333337</v>
      </c>
      <c r="F222" s="53"/>
    </row>
    <row r="223" spans="1:7" x14ac:dyDescent="0.2">
      <c r="A223" s="16" t="s">
        <v>221</v>
      </c>
      <c r="B223" s="17" t="s">
        <v>8</v>
      </c>
      <c r="C223" s="67">
        <f>+C221</f>
        <v>1</v>
      </c>
      <c r="D223" s="87">
        <v>59</v>
      </c>
      <c r="E223" s="18">
        <f>C223*D223</f>
        <v>59</v>
      </c>
      <c r="F223" s="53"/>
    </row>
    <row r="224" spans="1:7" ht="13.5" thickBot="1" x14ac:dyDescent="0.25">
      <c r="A224" s="16" t="s">
        <v>33</v>
      </c>
      <c r="B224" s="51" t="s">
        <v>7</v>
      </c>
      <c r="C224" s="148">
        <v>1</v>
      </c>
      <c r="D224" s="78">
        <f>+E223</f>
        <v>59</v>
      </c>
      <c r="E224" s="78">
        <f>+D224/C224</f>
        <v>59</v>
      </c>
      <c r="F224" s="53"/>
    </row>
    <row r="225" spans="1:7" ht="13.5" thickBot="1" x14ac:dyDescent="0.25">
      <c r="A225" s="79"/>
      <c r="B225" s="79"/>
      <c r="C225" s="79"/>
      <c r="D225" s="116" t="s">
        <v>188</v>
      </c>
      <c r="E225" s="48">
        <f>$B$44</f>
        <v>0.73</v>
      </c>
      <c r="F225" s="80">
        <f>(E222+E224)*E225</f>
        <v>43.678333333333335</v>
      </c>
    </row>
    <row r="226" spans="1:7" s="49" customFormat="1" ht="11.25" customHeight="1" thickBot="1" x14ac:dyDescent="0.25">
      <c r="A226" s="9"/>
      <c r="B226" s="9"/>
      <c r="C226" s="9"/>
      <c r="D226" s="10"/>
      <c r="E226" s="10"/>
      <c r="F226" s="10"/>
      <c r="G226" s="82"/>
    </row>
    <row r="227" spans="1:7" ht="13.5" thickBot="1" x14ac:dyDescent="0.25">
      <c r="A227" s="24" t="s">
        <v>219</v>
      </c>
      <c r="B227" s="25"/>
      <c r="C227" s="25"/>
      <c r="D227" s="26"/>
      <c r="E227" s="27"/>
      <c r="F227" s="21">
        <f>+F225</f>
        <v>43.678333333333335</v>
      </c>
    </row>
    <row r="228" spans="1:7" ht="11.25" customHeight="1" thickBot="1" x14ac:dyDescent="0.25"/>
    <row r="229" spans="1:7" ht="17.25" customHeight="1" thickBot="1" x14ac:dyDescent="0.25">
      <c r="A229" s="24" t="s">
        <v>224</v>
      </c>
      <c r="B229" s="28"/>
      <c r="C229" s="28"/>
      <c r="D229" s="29"/>
      <c r="E229" s="30"/>
      <c r="F229" s="22">
        <f>+F87+F121+F204+F216+F227</f>
        <v>23931.938128773239</v>
      </c>
    </row>
    <row r="230" spans="1:7" ht="11.25" customHeight="1" x14ac:dyDescent="0.2"/>
    <row r="231" spans="1:7" x14ac:dyDescent="0.2">
      <c r="A231" s="11" t="s">
        <v>85</v>
      </c>
    </row>
    <row r="232" spans="1:7" ht="11.25" customHeight="1" thickBot="1" x14ac:dyDescent="0.25"/>
    <row r="233" spans="1:7" ht="13.5" thickBot="1" x14ac:dyDescent="0.25">
      <c r="A233" s="58" t="s">
        <v>59</v>
      </c>
      <c r="B233" s="59" t="s">
        <v>60</v>
      </c>
      <c r="C233" s="59" t="s">
        <v>36</v>
      </c>
      <c r="D233" s="60" t="s">
        <v>234</v>
      </c>
      <c r="E233" s="60" t="s">
        <v>61</v>
      </c>
      <c r="F233" s="61" t="s">
        <v>62</v>
      </c>
    </row>
    <row r="234" spans="1:7" ht="13.5" thickBot="1" x14ac:dyDescent="0.25">
      <c r="A234" s="13" t="s">
        <v>32</v>
      </c>
      <c r="B234" s="14" t="s">
        <v>2</v>
      </c>
      <c r="C234" s="134">
        <f>'4.BDI'!C18*100</f>
        <v>27.67</v>
      </c>
      <c r="D234" s="15">
        <f>+F229</f>
        <v>23931.938128773239</v>
      </c>
      <c r="E234" s="15">
        <f>C234*D234/100</f>
        <v>6621.9672802315563</v>
      </c>
    </row>
    <row r="235" spans="1:7" ht="13.5" thickBot="1" x14ac:dyDescent="0.25">
      <c r="F235" s="21">
        <f>+E234</f>
        <v>6621.9672802315563</v>
      </c>
    </row>
    <row r="236" spans="1:7" ht="11.25" customHeight="1" thickBot="1" x14ac:dyDescent="0.25"/>
    <row r="237" spans="1:7" ht="13.5" thickBot="1" x14ac:dyDescent="0.25">
      <c r="A237" s="24" t="s">
        <v>239</v>
      </c>
      <c r="B237" s="28"/>
      <c r="C237" s="28"/>
      <c r="D237" s="29"/>
      <c r="E237" s="30"/>
      <c r="F237" s="22">
        <f>F235</f>
        <v>6621.9672802315563</v>
      </c>
    </row>
    <row r="238" spans="1:7" x14ac:dyDescent="0.2">
      <c r="A238" s="34"/>
      <c r="B238" s="34"/>
      <c r="C238" s="34"/>
      <c r="D238" s="35"/>
      <c r="E238" s="35"/>
      <c r="F238" s="33"/>
    </row>
    <row r="239" spans="1:7" ht="11.25" customHeight="1" thickBot="1" x14ac:dyDescent="0.25"/>
    <row r="240" spans="1:7" ht="24.75" customHeight="1" thickBot="1" x14ac:dyDescent="0.25">
      <c r="A240" s="24" t="s">
        <v>225</v>
      </c>
      <c r="B240" s="28"/>
      <c r="C240" s="28"/>
      <c r="D240" s="29"/>
      <c r="E240" s="30"/>
      <c r="F240" s="22">
        <f>F229+F237</f>
        <v>30553.905409004794</v>
      </c>
    </row>
    <row r="241" spans="1:6" ht="14.25" customHeight="1" x14ac:dyDescent="0.2">
      <c r="A241" s="54"/>
      <c r="B241" s="54"/>
      <c r="C241" s="54"/>
      <c r="D241" s="55"/>
      <c r="E241" s="55"/>
      <c r="F241" s="55"/>
    </row>
    <row r="242" spans="1:6" ht="14.25" customHeight="1" x14ac:dyDescent="0.2">
      <c r="A242" s="54" t="s">
        <v>310</v>
      </c>
      <c r="B242" s="54"/>
      <c r="C242" s="54"/>
      <c r="D242" s="55"/>
      <c r="E242" s="55"/>
      <c r="F242" s="55"/>
    </row>
    <row r="243" spans="1:6" ht="14.25" customHeight="1" x14ac:dyDescent="0.2">
      <c r="A243" s="131" t="s">
        <v>299</v>
      </c>
      <c r="B243" s="54"/>
      <c r="C243" s="54"/>
      <c r="D243" s="55"/>
      <c r="E243" s="55"/>
      <c r="F243" s="55"/>
    </row>
    <row r="244" spans="1:6" ht="28.5" customHeight="1" x14ac:dyDescent="0.2">
      <c r="A244" s="315" t="s">
        <v>289</v>
      </c>
      <c r="B244" s="315"/>
      <c r="C244" s="315"/>
      <c r="D244" s="315"/>
      <c r="E244" s="315"/>
      <c r="F244" s="315"/>
    </row>
    <row r="245" spans="1:6" ht="39" customHeight="1" x14ac:dyDescent="0.2">
      <c r="A245" s="312" t="s">
        <v>300</v>
      </c>
      <c r="B245" s="312"/>
      <c r="C245" s="312"/>
      <c r="D245" s="312"/>
      <c r="E245" s="312"/>
      <c r="F245" s="312"/>
    </row>
    <row r="246" spans="1:6" ht="24" customHeight="1" x14ac:dyDescent="0.2">
      <c r="A246" s="312" t="s">
        <v>301</v>
      </c>
      <c r="B246" s="312"/>
      <c r="C246" s="312"/>
      <c r="D246" s="312"/>
      <c r="E246" s="312"/>
      <c r="F246" s="312"/>
    </row>
    <row r="247" spans="1:6" ht="14.25" customHeight="1" x14ac:dyDescent="0.2">
      <c r="A247" s="7" t="s">
        <v>303</v>
      </c>
      <c r="B247" s="54"/>
      <c r="C247" s="54"/>
      <c r="D247" s="55"/>
      <c r="E247" s="55"/>
      <c r="F247" s="55"/>
    </row>
    <row r="248" spans="1:6" ht="28.5" customHeight="1" x14ac:dyDescent="0.2">
      <c r="A248" s="313" t="s">
        <v>304</v>
      </c>
      <c r="B248" s="313"/>
      <c r="C248" s="313"/>
      <c r="D248" s="313"/>
      <c r="E248" s="313"/>
      <c r="F248" s="313"/>
    </row>
    <row r="249" spans="1:6" ht="14.25" customHeight="1" x14ac:dyDescent="0.2">
      <c r="A249" s="314" t="s">
        <v>305</v>
      </c>
      <c r="B249" s="314"/>
      <c r="C249" s="314"/>
      <c r="D249" s="314"/>
      <c r="E249" s="314"/>
      <c r="F249" s="314"/>
    </row>
    <row r="250" spans="1:6" ht="25.5" customHeight="1" x14ac:dyDescent="0.2">
      <c r="A250" s="315" t="s">
        <v>306</v>
      </c>
      <c r="B250" s="315"/>
      <c r="C250" s="315"/>
      <c r="D250" s="315"/>
      <c r="E250" s="315"/>
      <c r="F250" s="315"/>
    </row>
    <row r="251" spans="1:6" ht="38.25" customHeight="1" x14ac:dyDescent="0.2">
      <c r="A251" s="312" t="s">
        <v>307</v>
      </c>
      <c r="B251" s="312"/>
      <c r="C251" s="312"/>
      <c r="D251" s="312"/>
      <c r="E251" s="312"/>
      <c r="F251" s="312"/>
    </row>
    <row r="252" spans="1:6" ht="27.75" customHeight="1" x14ac:dyDescent="0.2">
      <c r="A252" s="313" t="s">
        <v>308</v>
      </c>
      <c r="B252" s="313"/>
      <c r="C252" s="313"/>
      <c r="D252" s="313"/>
      <c r="E252" s="313"/>
      <c r="F252" s="313"/>
    </row>
    <row r="253" spans="1:6" ht="14.25" customHeight="1" x14ac:dyDescent="0.2">
      <c r="A253" s="314" t="s">
        <v>309</v>
      </c>
      <c r="B253" s="314"/>
      <c r="C253" s="314"/>
      <c r="D253" s="314"/>
      <c r="E253" s="314"/>
      <c r="F253" s="314"/>
    </row>
    <row r="254" spans="1:6" ht="27" customHeight="1" x14ac:dyDescent="0.2">
      <c r="A254" s="313" t="s">
        <v>311</v>
      </c>
      <c r="B254" s="313"/>
      <c r="C254" s="313"/>
      <c r="D254" s="313"/>
      <c r="E254" s="313"/>
      <c r="F254" s="313"/>
    </row>
    <row r="255" spans="1:6" ht="14.25" customHeight="1" x14ac:dyDescent="0.2">
      <c r="A255" s="309"/>
      <c r="B255" s="54"/>
      <c r="C255" s="54"/>
      <c r="D255" s="55"/>
      <c r="E255" s="55"/>
      <c r="F255" s="55"/>
    </row>
    <row r="256" spans="1:6" ht="14.25" customHeight="1" x14ac:dyDescent="0.2">
      <c r="A256" s="131" t="s">
        <v>317</v>
      </c>
      <c r="B256" s="54"/>
      <c r="C256" s="54"/>
      <c r="D256" s="55"/>
      <c r="E256" s="55"/>
      <c r="F256" s="55"/>
    </row>
    <row r="257" spans="1:6" ht="14.25" customHeight="1" x14ac:dyDescent="0.2">
      <c r="A257" s="309"/>
      <c r="B257" s="54"/>
      <c r="C257" s="54"/>
      <c r="D257" s="55"/>
      <c r="E257" s="55"/>
      <c r="F257" s="55"/>
    </row>
    <row r="258" spans="1:6" ht="14.25" customHeight="1" x14ac:dyDescent="0.2">
      <c r="A258" s="309"/>
      <c r="B258" s="54"/>
      <c r="C258" s="54"/>
      <c r="D258" s="55"/>
      <c r="E258" s="55"/>
      <c r="F258" s="55"/>
    </row>
    <row r="259" spans="1:6" ht="12.6" customHeight="1" x14ac:dyDescent="0.2">
      <c r="A259" s="309"/>
      <c r="B259" s="54"/>
      <c r="C259" s="54"/>
      <c r="D259" s="55"/>
      <c r="E259" s="55"/>
      <c r="F259" s="55"/>
    </row>
    <row r="260" spans="1:6" ht="12.6" customHeight="1" x14ac:dyDescent="0.2">
      <c r="A260" s="309"/>
      <c r="B260" s="54"/>
      <c r="C260" s="54"/>
      <c r="D260" s="55"/>
      <c r="E260" s="55"/>
      <c r="F260" s="55"/>
    </row>
    <row r="261" spans="1:6" ht="12.6" customHeight="1" x14ac:dyDescent="0.2">
      <c r="A261" s="309"/>
      <c r="B261" s="54"/>
      <c r="C261" s="54"/>
      <c r="D261" s="55"/>
      <c r="E261" s="55"/>
      <c r="F261" s="55"/>
    </row>
    <row r="262" spans="1:6" ht="14.25" x14ac:dyDescent="0.2">
      <c r="A262" s="8"/>
      <c r="B262" s="8"/>
      <c r="C262" s="8"/>
      <c r="D262" s="36"/>
      <c r="E262" s="36"/>
    </row>
    <row r="292" spans="4:7" ht="9" customHeight="1" x14ac:dyDescent="0.2">
      <c r="D292" s="9"/>
      <c r="E292" s="9"/>
      <c r="F292" s="9"/>
      <c r="G292" s="9"/>
    </row>
  </sheetData>
  <mergeCells count="21">
    <mergeCell ref="A244:F244"/>
    <mergeCell ref="A250:F250"/>
    <mergeCell ref="A1:F1"/>
    <mergeCell ref="A2:F2"/>
    <mergeCell ref="A3:F3"/>
    <mergeCell ref="A4:F4"/>
    <mergeCell ref="A40:D40"/>
    <mergeCell ref="A18:C18"/>
    <mergeCell ref="A8:F8"/>
    <mergeCell ref="A9:F9"/>
    <mergeCell ref="A35:D35"/>
    <mergeCell ref="A11:F11"/>
    <mergeCell ref="A34:E34"/>
    <mergeCell ref="A245:F245"/>
    <mergeCell ref="A248:F248"/>
    <mergeCell ref="A246:F246"/>
    <mergeCell ref="A251:F251"/>
    <mergeCell ref="A254:F254"/>
    <mergeCell ref="A252:F252"/>
    <mergeCell ref="A253:F253"/>
    <mergeCell ref="A249:F249"/>
  </mergeCells>
  <phoneticPr fontId="9" type="noConversion"/>
  <hyperlinks>
    <hyperlink ref="A143" location="AbaRemun" display="3.1.2. Remuneração do Capital"/>
    <hyperlink ref="A127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4" fitToHeight="0" orientation="portrait" r:id="rId1"/>
  <headerFooter alignWithMargins="0">
    <oddFooter>&amp;R&amp;P de &amp;N</oddFooter>
  </headerFooter>
  <rowBreaks count="4" manualBreakCount="4">
    <brk id="45" max="5" man="1"/>
    <brk id="106" max="16383" man="1"/>
    <brk id="166" max="5" man="1"/>
    <brk id="230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opLeftCell="A2" zoomScaleNormal="100" workbookViewId="0">
      <selection activeCell="C11" sqref="C11"/>
    </sheetView>
  </sheetViews>
  <sheetFormatPr defaultRowHeight="12.75" x14ac:dyDescent="0.2"/>
  <cols>
    <col min="1" max="1" width="13.5703125" style="1" customWidth="1"/>
    <col min="2" max="2" width="36.7109375" style="1" bestFit="1" customWidth="1"/>
    <col min="3" max="3" width="14.5703125" style="1" customWidth="1"/>
    <col min="4" max="4" width="37.28515625" style="151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 t="s">
        <v>196</v>
      </c>
    </row>
    <row r="2" spans="1:12" x14ac:dyDescent="0.2">
      <c r="A2" s="133" t="s">
        <v>246</v>
      </c>
    </row>
    <row r="3" spans="1:12" ht="13.5" thickBot="1" x14ac:dyDescent="0.25"/>
    <row r="4" spans="1:12" ht="18" x14ac:dyDescent="0.2">
      <c r="A4" s="336" t="s">
        <v>228</v>
      </c>
      <c r="B4" s="337"/>
      <c r="C4" s="338"/>
      <c r="D4" s="143"/>
      <c r="E4" s="143"/>
      <c r="F4" s="143"/>
    </row>
    <row r="5" spans="1:12" ht="14.25" x14ac:dyDescent="0.2">
      <c r="A5" s="164" t="s">
        <v>133</v>
      </c>
      <c r="B5" s="165" t="s">
        <v>134</v>
      </c>
      <c r="C5" s="166" t="s">
        <v>135</v>
      </c>
      <c r="D5" s="167"/>
    </row>
    <row r="6" spans="1:12" ht="14.25" x14ac:dyDescent="0.2">
      <c r="A6" s="164" t="s">
        <v>136</v>
      </c>
      <c r="B6" s="165" t="s">
        <v>37</v>
      </c>
      <c r="C6" s="168">
        <v>0.2</v>
      </c>
      <c r="D6" s="167"/>
      <c r="F6" s="151"/>
      <c r="G6" s="151"/>
      <c r="H6" s="151"/>
      <c r="I6" s="151"/>
      <c r="J6" s="151"/>
      <c r="K6" s="151"/>
      <c r="L6" s="151"/>
    </row>
    <row r="7" spans="1:12" ht="14.25" x14ac:dyDescent="0.2">
      <c r="A7" s="164" t="s">
        <v>137</v>
      </c>
      <c r="B7" s="165" t="s">
        <v>138</v>
      </c>
      <c r="C7" s="168">
        <v>1.4999999999999999E-2</v>
      </c>
      <c r="D7" s="167"/>
      <c r="F7" s="151"/>
      <c r="G7" s="151"/>
      <c r="H7" s="151"/>
      <c r="I7" s="151"/>
      <c r="J7" s="151"/>
      <c r="K7" s="151"/>
      <c r="L7" s="151"/>
    </row>
    <row r="8" spans="1:12" ht="14.25" x14ac:dyDescent="0.2">
      <c r="A8" s="164" t="s">
        <v>139</v>
      </c>
      <c r="B8" s="165" t="s">
        <v>140</v>
      </c>
      <c r="C8" s="168">
        <v>0.01</v>
      </c>
      <c r="D8" s="167"/>
      <c r="F8" s="151"/>
      <c r="G8" s="151"/>
      <c r="H8" s="151"/>
      <c r="I8" s="151"/>
      <c r="J8" s="151"/>
      <c r="K8" s="151"/>
      <c r="L8" s="151"/>
    </row>
    <row r="9" spans="1:12" ht="14.25" x14ac:dyDescent="0.2">
      <c r="A9" s="164" t="s">
        <v>141</v>
      </c>
      <c r="B9" s="165" t="s">
        <v>142</v>
      </c>
      <c r="C9" s="168">
        <v>2E-3</v>
      </c>
      <c r="D9" s="167"/>
      <c r="F9" s="151"/>
      <c r="G9" s="151"/>
      <c r="H9" s="151"/>
      <c r="I9" s="151"/>
      <c r="J9" s="151"/>
      <c r="K9" s="151"/>
      <c r="L9" s="151"/>
    </row>
    <row r="10" spans="1:12" ht="14.25" x14ac:dyDescent="0.2">
      <c r="A10" s="164" t="s">
        <v>143</v>
      </c>
      <c r="B10" s="165" t="s">
        <v>144</v>
      </c>
      <c r="C10" s="168">
        <v>6.0000000000000001E-3</v>
      </c>
      <c r="D10" s="167"/>
      <c r="F10" s="151"/>
      <c r="G10" s="151"/>
      <c r="H10" s="151"/>
      <c r="I10" s="151"/>
      <c r="J10" s="151"/>
      <c r="K10" s="151"/>
      <c r="L10" s="151"/>
    </row>
    <row r="11" spans="1:12" ht="14.25" x14ac:dyDescent="0.2">
      <c r="A11" s="164" t="s">
        <v>145</v>
      </c>
      <c r="B11" s="165" t="s">
        <v>146</v>
      </c>
      <c r="C11" s="168">
        <v>2.5000000000000001E-2</v>
      </c>
      <c r="D11" s="167"/>
      <c r="F11" s="151"/>
      <c r="G11" s="151"/>
      <c r="H11" s="151"/>
      <c r="I11" s="151"/>
      <c r="J11" s="151"/>
      <c r="K11" s="151"/>
      <c r="L11" s="151"/>
    </row>
    <row r="12" spans="1:12" ht="14.25" x14ac:dyDescent="0.2">
      <c r="A12" s="164" t="s">
        <v>147</v>
      </c>
      <c r="B12" s="165" t="s">
        <v>148</v>
      </c>
      <c r="C12" s="168">
        <v>0.03</v>
      </c>
      <c r="D12" s="167"/>
      <c r="F12" s="151"/>
      <c r="G12" s="151"/>
      <c r="H12" s="151"/>
      <c r="I12" s="151"/>
      <c r="J12" s="151"/>
      <c r="K12" s="151"/>
      <c r="L12" s="151"/>
    </row>
    <row r="13" spans="1:12" ht="14.25" x14ac:dyDescent="0.2">
      <c r="A13" s="164" t="s">
        <v>149</v>
      </c>
      <c r="B13" s="165" t="s">
        <v>38</v>
      </c>
      <c r="C13" s="168">
        <v>0.08</v>
      </c>
      <c r="D13" s="169"/>
      <c r="F13" s="151"/>
      <c r="G13" s="151"/>
      <c r="H13" s="151"/>
      <c r="I13" s="151"/>
      <c r="J13" s="151"/>
      <c r="K13" s="151"/>
      <c r="L13" s="151"/>
    </row>
    <row r="14" spans="1:12" ht="15" x14ac:dyDescent="0.2">
      <c r="A14" s="164" t="s">
        <v>150</v>
      </c>
      <c r="B14" s="170" t="s">
        <v>151</v>
      </c>
      <c r="C14" s="171">
        <f>SUM(C6:C13)</f>
        <v>0.36800000000000005</v>
      </c>
      <c r="D14" s="169"/>
      <c r="F14" s="151"/>
      <c r="G14" s="151"/>
      <c r="H14" s="151"/>
      <c r="I14" s="151"/>
      <c r="J14" s="151"/>
      <c r="K14" s="151"/>
      <c r="L14" s="151"/>
    </row>
    <row r="15" spans="1:12" ht="15" x14ac:dyDescent="0.2">
      <c r="A15" s="172"/>
      <c r="B15" s="173"/>
      <c r="C15" s="174"/>
      <c r="D15" s="169"/>
      <c r="F15" s="151"/>
      <c r="G15" s="151"/>
      <c r="H15" s="151"/>
      <c r="I15" s="151"/>
      <c r="J15" s="151"/>
      <c r="K15" s="151"/>
      <c r="L15" s="151"/>
    </row>
    <row r="16" spans="1:12" ht="14.25" x14ac:dyDescent="0.2">
      <c r="A16" s="164" t="s">
        <v>152</v>
      </c>
      <c r="B16" s="175" t="s">
        <v>153</v>
      </c>
      <c r="C16" s="168">
        <f>ROUND(IF('3.CAGED'!C39&gt;24,(1-12/'3.CAGED'!C39)*0.1111,0.1111-C25),4)</f>
        <v>6.3200000000000006E-2</v>
      </c>
      <c r="D16" s="169"/>
      <c r="F16" s="151"/>
      <c r="G16" s="151"/>
      <c r="H16" s="151"/>
      <c r="I16" s="151"/>
      <c r="J16" s="151"/>
      <c r="K16" s="151"/>
      <c r="L16" s="151"/>
    </row>
    <row r="17" spans="1:12" ht="14.25" x14ac:dyDescent="0.2">
      <c r="A17" s="164" t="s">
        <v>154</v>
      </c>
      <c r="B17" s="175" t="s">
        <v>155</v>
      </c>
      <c r="C17" s="168">
        <f>ROUND('3.CAGED'!C33/'3.CAGED'!C30,4)</f>
        <v>8.3299999999999999E-2</v>
      </c>
      <c r="D17" s="169"/>
      <c r="F17" s="151"/>
      <c r="G17" s="151"/>
      <c r="H17" s="151"/>
      <c r="I17" s="151"/>
      <c r="J17" s="151"/>
      <c r="K17" s="151"/>
      <c r="L17" s="151"/>
    </row>
    <row r="18" spans="1:12" ht="14.25" x14ac:dyDescent="0.2">
      <c r="A18" s="164" t="s">
        <v>217</v>
      </c>
      <c r="B18" s="175" t="s">
        <v>157</v>
      </c>
      <c r="C18" s="168">
        <v>5.9999999999999995E-4</v>
      </c>
      <c r="D18" s="169"/>
      <c r="F18" s="151"/>
      <c r="G18" s="151"/>
      <c r="H18" s="151"/>
      <c r="I18" s="151"/>
      <c r="J18" s="151"/>
      <c r="K18" s="151"/>
      <c r="L18" s="151"/>
    </row>
    <row r="19" spans="1:12" ht="14.25" x14ac:dyDescent="0.2">
      <c r="A19" s="164" t="s">
        <v>156</v>
      </c>
      <c r="B19" s="175" t="s">
        <v>159</v>
      </c>
      <c r="C19" s="168">
        <v>8.2000000000000007E-3</v>
      </c>
      <c r="D19" s="169"/>
      <c r="F19" s="151"/>
      <c r="G19" s="151"/>
      <c r="H19" s="151"/>
      <c r="I19" s="151"/>
      <c r="J19" s="151"/>
      <c r="K19" s="151"/>
      <c r="L19" s="151"/>
    </row>
    <row r="20" spans="1:12" ht="14.25" x14ac:dyDescent="0.2">
      <c r="A20" s="164" t="s">
        <v>158</v>
      </c>
      <c r="B20" s="175" t="s">
        <v>161</v>
      </c>
      <c r="C20" s="168">
        <v>3.0999999999999999E-3</v>
      </c>
      <c r="D20" s="169"/>
      <c r="F20" s="151"/>
      <c r="G20" s="151"/>
      <c r="H20" s="151"/>
      <c r="I20" s="151"/>
      <c r="J20" s="151"/>
      <c r="K20" s="151"/>
      <c r="L20" s="151"/>
    </row>
    <row r="21" spans="1:12" ht="14.25" x14ac:dyDescent="0.2">
      <c r="A21" s="164" t="s">
        <v>160</v>
      </c>
      <c r="B21" s="175" t="s">
        <v>162</v>
      </c>
      <c r="C21" s="168">
        <v>1.66E-2</v>
      </c>
      <c r="D21" s="169"/>
      <c r="F21" s="151"/>
      <c r="G21" s="151"/>
      <c r="H21" s="151"/>
      <c r="I21" s="151"/>
      <c r="J21" s="151"/>
      <c r="K21" s="151"/>
      <c r="L21" s="151"/>
    </row>
    <row r="22" spans="1:12" ht="15" x14ac:dyDescent="0.2">
      <c r="A22" s="164" t="s">
        <v>163</v>
      </c>
      <c r="B22" s="170" t="s">
        <v>164</v>
      </c>
      <c r="C22" s="171">
        <f>SUM(C16:C21)</f>
        <v>0.17500000000000002</v>
      </c>
      <c r="D22" s="176"/>
      <c r="F22" s="151"/>
      <c r="G22" s="151"/>
      <c r="H22" s="151"/>
      <c r="I22" s="151"/>
      <c r="J22" s="151"/>
      <c r="K22" s="151"/>
      <c r="L22" s="151"/>
    </row>
    <row r="23" spans="1:12" ht="15" x14ac:dyDescent="0.2">
      <c r="A23" s="172"/>
      <c r="B23" s="173"/>
      <c r="C23" s="174"/>
      <c r="D23" s="176"/>
      <c r="F23" s="151"/>
      <c r="G23" s="151"/>
      <c r="H23" s="151"/>
      <c r="I23" s="151"/>
      <c r="J23" s="151"/>
      <c r="K23" s="151"/>
      <c r="L23" s="151"/>
    </row>
    <row r="24" spans="1:12" ht="14.25" x14ac:dyDescent="0.2">
      <c r="A24" s="164" t="s">
        <v>165</v>
      </c>
      <c r="B24" s="165" t="s">
        <v>166</v>
      </c>
      <c r="C24" s="168">
        <f>ROUND(('3.CAGED'!C38) *'3.CAGED'!C29/'3.CAGED'!C30,4)</f>
        <v>3.61E-2</v>
      </c>
      <c r="D24" s="169"/>
      <c r="E24" s="177"/>
      <c r="F24" s="151"/>
      <c r="G24" s="151"/>
      <c r="H24" s="151"/>
      <c r="I24" s="151"/>
      <c r="J24" s="151"/>
      <c r="K24" s="151"/>
      <c r="L24" s="151"/>
    </row>
    <row r="25" spans="1:12" ht="14.25" x14ac:dyDescent="0.2">
      <c r="A25" s="164" t="s">
        <v>216</v>
      </c>
      <c r="B25" s="165" t="s">
        <v>168</v>
      </c>
      <c r="C25" s="168">
        <f>ROUND(IF('3.CAGED'!C39&gt;12,12/'3.CAGED'!C39*0.1111,0.1111),4)</f>
        <v>4.7899999999999998E-2</v>
      </c>
      <c r="D25" s="169"/>
      <c r="F25" s="151"/>
      <c r="G25" s="151"/>
      <c r="H25" s="178"/>
      <c r="I25" s="151"/>
      <c r="J25" s="151"/>
      <c r="K25" s="151"/>
      <c r="L25" s="151"/>
    </row>
    <row r="26" spans="1:12" ht="14.25" x14ac:dyDescent="0.2">
      <c r="A26" s="164" t="s">
        <v>167</v>
      </c>
      <c r="B26" s="165" t="s">
        <v>170</v>
      </c>
      <c r="C26" s="168">
        <f>ROUND(('3.CAGED'!C32+'3.CAGED'!C31)/360*C24,4)</f>
        <v>4.0000000000000001E-3</v>
      </c>
      <c r="D26" s="169"/>
      <c r="F26" s="151"/>
      <c r="G26" s="151"/>
      <c r="H26" s="151"/>
      <c r="I26" s="151"/>
      <c r="J26" s="151"/>
      <c r="K26" s="151"/>
      <c r="L26" s="151"/>
    </row>
    <row r="27" spans="1:12" ht="14.25" x14ac:dyDescent="0.2">
      <c r="A27" s="164" t="s">
        <v>169</v>
      </c>
      <c r="B27" s="165" t="s">
        <v>172</v>
      </c>
      <c r="C27" s="168">
        <f>ROUND(('3.CAGED'!C30+'3.CAGED'!C31+'3.CAGED'!C33)/'3.CAGED'!C28*'3.CAGED'!C35*'3.CAGED'!C36*'3.CAGED'!C29/'3.CAGED'!C30,4)</f>
        <v>3.7199999999999997E-2</v>
      </c>
      <c r="D27" s="169"/>
      <c r="F27" s="151"/>
      <c r="G27" s="179"/>
      <c r="H27" s="151"/>
      <c r="I27" s="151"/>
      <c r="J27" s="151"/>
      <c r="K27" s="151"/>
      <c r="L27" s="151"/>
    </row>
    <row r="28" spans="1:12" ht="14.25" x14ac:dyDescent="0.2">
      <c r="A28" s="164" t="s">
        <v>171</v>
      </c>
      <c r="B28" s="165" t="s">
        <v>173</v>
      </c>
      <c r="C28" s="168">
        <f>ROUND(('3.CAGED'!C32/'3.CAGED'!C30)*'3.CAGED'!C29/12,4)</f>
        <v>2.5000000000000001E-3</v>
      </c>
      <c r="D28" s="169"/>
      <c r="F28" s="151"/>
      <c r="G28" s="151"/>
      <c r="H28" s="151"/>
      <c r="I28" s="151"/>
      <c r="J28" s="151"/>
      <c r="K28" s="151"/>
      <c r="L28" s="151"/>
    </row>
    <row r="29" spans="1:12" ht="15" x14ac:dyDescent="0.2">
      <c r="A29" s="164" t="s">
        <v>174</v>
      </c>
      <c r="B29" s="170" t="s">
        <v>175</v>
      </c>
      <c r="C29" s="171">
        <f>SUM(C24:C28)</f>
        <v>0.12769999999999998</v>
      </c>
      <c r="D29" s="176"/>
      <c r="F29" s="151"/>
      <c r="G29" s="151"/>
      <c r="H29" s="151"/>
      <c r="I29" s="151"/>
      <c r="J29" s="151"/>
      <c r="K29" s="151"/>
      <c r="L29" s="151"/>
    </row>
    <row r="30" spans="1:12" ht="15" x14ac:dyDescent="0.2">
      <c r="A30" s="172"/>
      <c r="B30" s="173"/>
      <c r="C30" s="174"/>
      <c r="D30" s="176"/>
      <c r="F30" s="151"/>
      <c r="G30" s="151"/>
      <c r="H30" s="151"/>
      <c r="I30" s="151"/>
      <c r="J30" s="151"/>
      <c r="K30" s="151"/>
      <c r="L30" s="151"/>
    </row>
    <row r="31" spans="1:12" ht="14.25" x14ac:dyDescent="0.2">
      <c r="A31" s="164" t="s">
        <v>176</v>
      </c>
      <c r="B31" s="165" t="s">
        <v>177</v>
      </c>
      <c r="C31" s="168">
        <f>ROUND(C14*C22,4)</f>
        <v>6.4399999999999999E-2</v>
      </c>
      <c r="D31" s="169"/>
      <c r="F31" s="151"/>
      <c r="G31" s="151"/>
      <c r="H31" s="151"/>
      <c r="I31" s="151"/>
      <c r="J31" s="151"/>
      <c r="K31" s="151"/>
      <c r="L31" s="151"/>
    </row>
    <row r="32" spans="1:12" ht="28.5" x14ac:dyDescent="0.2">
      <c r="A32" s="164" t="s">
        <v>178</v>
      </c>
      <c r="B32" s="180" t="s">
        <v>179</v>
      </c>
      <c r="C32" s="168">
        <f>ROUND((C24*C14),4)</f>
        <v>1.3299999999999999E-2</v>
      </c>
      <c r="D32" s="169"/>
      <c r="F32" s="151"/>
      <c r="G32" s="151"/>
      <c r="H32" s="151"/>
      <c r="I32" s="151"/>
      <c r="J32" s="151"/>
      <c r="K32" s="151"/>
      <c r="L32" s="151"/>
    </row>
    <row r="33" spans="1:12" ht="15" x14ac:dyDescent="0.2">
      <c r="A33" s="164" t="s">
        <v>180</v>
      </c>
      <c r="B33" s="170" t="s">
        <v>181</v>
      </c>
      <c r="C33" s="171">
        <f>SUM(C31:C32)</f>
        <v>7.7699999999999991E-2</v>
      </c>
      <c r="D33" s="181"/>
      <c r="F33" s="151"/>
      <c r="G33" s="151"/>
      <c r="H33" s="151"/>
      <c r="I33" s="151"/>
      <c r="J33" s="151"/>
      <c r="K33" s="151"/>
      <c r="L33" s="151"/>
    </row>
    <row r="34" spans="1:12" ht="15.75" thickBot="1" x14ac:dyDescent="0.25">
      <c r="A34" s="182"/>
      <c r="B34" s="183" t="s">
        <v>182</v>
      </c>
      <c r="C34" s="184">
        <f>C33+C29+C22+C14</f>
        <v>0.74839999999999995</v>
      </c>
      <c r="D34" s="181"/>
      <c r="F34" s="151"/>
      <c r="G34" s="151"/>
      <c r="H34" s="151"/>
      <c r="I34" s="151"/>
      <c r="J34" s="151"/>
      <c r="K34" s="151"/>
      <c r="L34" s="151"/>
    </row>
    <row r="35" spans="1:12" ht="15" x14ac:dyDescent="0.2">
      <c r="A35" s="169"/>
      <c r="B35" s="185"/>
      <c r="C35" s="186"/>
      <c r="D35" s="187"/>
      <c r="F35" s="151"/>
      <c r="G35" s="151"/>
      <c r="H35" s="151"/>
      <c r="I35" s="151"/>
      <c r="J35" s="151"/>
      <c r="K35" s="151"/>
      <c r="L35" s="151"/>
    </row>
    <row r="36" spans="1:12" ht="14.25" x14ac:dyDescent="0.2">
      <c r="A36" s="169"/>
      <c r="B36" s="169"/>
      <c r="C36" s="188"/>
      <c r="D36" s="189"/>
      <c r="F36" s="151"/>
      <c r="G36" s="151"/>
      <c r="H36" s="151"/>
      <c r="I36" s="151"/>
      <c r="J36" s="151"/>
      <c r="K36" s="151"/>
      <c r="L36" s="151"/>
    </row>
    <row r="37" spans="1:12" ht="14.25" x14ac:dyDescent="0.2">
      <c r="A37" s="167"/>
      <c r="B37" s="167"/>
      <c r="C37" s="190"/>
      <c r="D37" s="167"/>
      <c r="F37" s="151"/>
      <c r="G37" s="151"/>
      <c r="H37" s="151"/>
      <c r="I37" s="151"/>
      <c r="J37" s="151"/>
      <c r="K37" s="151"/>
      <c r="L37" s="151"/>
    </row>
    <row r="38" spans="1:12" ht="14.25" x14ac:dyDescent="0.2">
      <c r="A38" s="167"/>
      <c r="B38" s="167"/>
      <c r="C38" s="190"/>
      <c r="D38" s="167"/>
      <c r="F38" s="151"/>
      <c r="G38" s="151"/>
      <c r="H38" s="151"/>
      <c r="I38" s="151"/>
      <c r="J38" s="151"/>
      <c r="K38" s="151"/>
      <c r="L38" s="151"/>
    </row>
    <row r="39" spans="1:12" ht="14.25" x14ac:dyDescent="0.2">
      <c r="A39" s="167"/>
      <c r="B39" s="167"/>
      <c r="C39" s="190"/>
      <c r="D39" s="167"/>
      <c r="F39" s="151"/>
      <c r="G39" s="151"/>
      <c r="H39" s="151"/>
      <c r="I39" s="151"/>
      <c r="J39" s="151"/>
      <c r="K39" s="151"/>
      <c r="L39" s="151"/>
    </row>
    <row r="40" spans="1:12" ht="15" x14ac:dyDescent="0.2">
      <c r="A40" s="167"/>
      <c r="B40" s="191"/>
      <c r="C40" s="192"/>
      <c r="D40" s="167"/>
      <c r="F40" s="151"/>
      <c r="G40" s="151"/>
      <c r="H40" s="151"/>
      <c r="I40" s="151"/>
      <c r="J40" s="151"/>
      <c r="K40" s="151"/>
      <c r="L40" s="151"/>
    </row>
    <row r="41" spans="1:12" ht="15" x14ac:dyDescent="0.2">
      <c r="A41" s="181"/>
      <c r="B41" s="191"/>
      <c r="C41" s="192"/>
      <c r="D41" s="181"/>
      <c r="E41" s="151"/>
      <c r="F41" s="151"/>
      <c r="G41" s="151"/>
      <c r="H41" s="151"/>
      <c r="I41" s="151"/>
      <c r="J41" s="151"/>
      <c r="K41" s="151"/>
      <c r="L41" s="151"/>
    </row>
    <row r="42" spans="1:12" ht="16.5" x14ac:dyDescent="0.2">
      <c r="A42" s="193"/>
      <c r="B42" s="151"/>
      <c r="C42" s="151"/>
      <c r="E42" s="151"/>
      <c r="F42" s="151"/>
      <c r="G42" s="151"/>
      <c r="H42" s="151"/>
      <c r="I42" s="151"/>
      <c r="J42" s="151"/>
      <c r="K42" s="151"/>
      <c r="L42" s="151"/>
    </row>
    <row r="43" spans="1:12" x14ac:dyDescent="0.2">
      <c r="A43" s="194"/>
      <c r="B43" s="195"/>
      <c r="C43" s="195"/>
      <c r="E43" s="151"/>
      <c r="F43" s="151"/>
      <c r="G43" s="151"/>
      <c r="H43" s="151"/>
      <c r="I43" s="151"/>
      <c r="J43" s="151"/>
      <c r="K43" s="151"/>
      <c r="L43" s="151"/>
    </row>
    <row r="44" spans="1:12" ht="14.25" x14ac:dyDescent="0.2">
      <c r="A44" s="167"/>
      <c r="B44" s="196"/>
      <c r="C44" s="195"/>
      <c r="E44" s="151"/>
      <c r="F44" s="151"/>
      <c r="G44" s="151"/>
      <c r="H44" s="151"/>
      <c r="I44" s="151"/>
      <c r="J44" s="151"/>
      <c r="K44" s="151"/>
      <c r="L44" s="151"/>
    </row>
    <row r="45" spans="1:12" ht="14.25" x14ac:dyDescent="0.2">
      <c r="A45" s="167"/>
      <c r="B45" s="196"/>
      <c r="C45" s="167"/>
      <c r="E45" s="151"/>
      <c r="F45" s="151"/>
      <c r="G45" s="151"/>
      <c r="H45" s="151"/>
      <c r="I45" s="151"/>
      <c r="J45" s="151"/>
      <c r="K45" s="151"/>
      <c r="L45" s="151"/>
    </row>
    <row r="46" spans="1:12" ht="14.25" x14ac:dyDescent="0.2">
      <c r="A46" s="167"/>
      <c r="B46" s="190"/>
      <c r="C46" s="195"/>
      <c r="E46" s="151"/>
      <c r="F46" s="151"/>
      <c r="G46" s="151"/>
      <c r="H46" s="151"/>
      <c r="I46" s="151"/>
      <c r="J46" s="151"/>
      <c r="K46" s="151"/>
      <c r="L46" s="151"/>
    </row>
    <row r="47" spans="1:12" ht="14.25" x14ac:dyDescent="0.2">
      <c r="A47" s="167"/>
      <c r="B47" s="196"/>
      <c r="C47" s="167"/>
      <c r="E47" s="151"/>
      <c r="F47" s="151"/>
      <c r="G47" s="151"/>
      <c r="H47" s="151"/>
      <c r="I47" s="151"/>
      <c r="J47" s="151"/>
      <c r="K47" s="151"/>
      <c r="L47" s="151"/>
    </row>
    <row r="48" spans="1:12" ht="14.25" x14ac:dyDescent="0.2">
      <c r="A48" s="167"/>
      <c r="B48" s="190"/>
      <c r="C48" s="195"/>
      <c r="E48" s="151"/>
      <c r="F48" s="151"/>
      <c r="G48" s="151"/>
      <c r="H48" s="151"/>
      <c r="I48" s="151"/>
      <c r="J48" s="151"/>
      <c r="K48" s="151"/>
      <c r="L48" s="151"/>
    </row>
    <row r="49" spans="1:12" ht="14.25" x14ac:dyDescent="0.2">
      <c r="A49" s="167"/>
      <c r="B49" s="196"/>
      <c r="C49" s="167"/>
      <c r="E49" s="151"/>
      <c r="F49" s="151"/>
      <c r="G49" s="151"/>
      <c r="H49" s="151"/>
      <c r="I49" s="151"/>
      <c r="J49" s="151"/>
      <c r="K49" s="151"/>
      <c r="L49" s="151"/>
    </row>
    <row r="50" spans="1:12" ht="14.25" x14ac:dyDescent="0.2">
      <c r="A50" s="167"/>
      <c r="B50" s="190"/>
      <c r="C50" s="195"/>
      <c r="E50" s="151"/>
      <c r="F50" s="151"/>
      <c r="G50" s="151"/>
      <c r="H50" s="151"/>
      <c r="I50" s="151"/>
      <c r="J50" s="151"/>
      <c r="K50" s="151"/>
      <c r="L50" s="151"/>
    </row>
    <row r="51" spans="1:12" ht="14.25" x14ac:dyDescent="0.2">
      <c r="A51" s="167"/>
      <c r="B51" s="196"/>
      <c r="C51" s="167"/>
      <c r="E51" s="151"/>
      <c r="F51" s="151"/>
      <c r="G51" s="151"/>
      <c r="H51" s="151"/>
      <c r="I51" s="151"/>
      <c r="J51" s="151"/>
      <c r="K51" s="151"/>
      <c r="L51" s="151"/>
    </row>
    <row r="52" spans="1:12" ht="14.25" x14ac:dyDescent="0.2">
      <c r="A52" s="167"/>
      <c r="B52" s="190"/>
      <c r="C52" s="195"/>
      <c r="E52" s="151"/>
      <c r="F52" s="151"/>
      <c r="G52" s="151"/>
      <c r="H52" s="151"/>
      <c r="I52" s="151"/>
      <c r="J52" s="151"/>
      <c r="K52" s="151"/>
      <c r="L52" s="151"/>
    </row>
    <row r="53" spans="1:12" ht="16.5" x14ac:dyDescent="0.2">
      <c r="A53" s="193"/>
      <c r="B53" s="151"/>
      <c r="C53" s="151"/>
      <c r="E53" s="151"/>
      <c r="F53" s="151"/>
      <c r="G53" s="151"/>
      <c r="H53" s="151"/>
      <c r="I53" s="151"/>
      <c r="J53" s="151"/>
      <c r="K53" s="151"/>
      <c r="L53" s="151"/>
    </row>
    <row r="54" spans="1:12" x14ac:dyDescent="0.2">
      <c r="A54" s="151"/>
      <c r="B54" s="151"/>
      <c r="C54" s="151"/>
      <c r="E54" s="151"/>
      <c r="F54" s="151"/>
      <c r="G54" s="151"/>
      <c r="H54" s="151"/>
      <c r="I54" s="151"/>
      <c r="J54" s="151"/>
      <c r="K54" s="151"/>
      <c r="L54" s="151"/>
    </row>
    <row r="55" spans="1:12" x14ac:dyDescent="0.2">
      <c r="A55" s="151"/>
      <c r="B55" s="151"/>
      <c r="C55" s="151"/>
      <c r="E55" s="151"/>
      <c r="F55" s="151"/>
      <c r="G55" s="151"/>
      <c r="H55" s="151"/>
      <c r="I55" s="151"/>
      <c r="J55" s="151"/>
      <c r="K55" s="151"/>
      <c r="L55" s="151"/>
    </row>
    <row r="56" spans="1:12" x14ac:dyDescent="0.2">
      <c r="A56" s="197"/>
      <c r="B56" s="151"/>
      <c r="C56" s="151"/>
      <c r="E56" s="151"/>
      <c r="F56" s="151"/>
      <c r="G56" s="151"/>
      <c r="H56" s="151"/>
      <c r="I56" s="151"/>
      <c r="J56" s="151"/>
      <c r="K56" s="151"/>
      <c r="L56" s="151"/>
    </row>
    <row r="57" spans="1:12" x14ac:dyDescent="0.2">
      <c r="A57" s="151"/>
      <c r="B57" s="151"/>
      <c r="C57" s="151"/>
      <c r="E57" s="151"/>
    </row>
    <row r="58" spans="1:12" x14ac:dyDescent="0.2">
      <c r="A58" s="151"/>
      <c r="B58" s="151"/>
      <c r="C58" s="151"/>
      <c r="E58" s="151"/>
    </row>
    <row r="59" spans="1:12" x14ac:dyDescent="0.2">
      <c r="A59" s="151"/>
      <c r="B59" s="151"/>
      <c r="C59" s="151"/>
      <c r="E59" s="151"/>
    </row>
    <row r="60" spans="1:12" x14ac:dyDescent="0.2">
      <c r="A60" s="151"/>
      <c r="B60" s="151"/>
      <c r="C60" s="151"/>
      <c r="E60" s="151"/>
    </row>
    <row r="61" spans="1:12" x14ac:dyDescent="0.2">
      <c r="A61" s="151"/>
      <c r="B61" s="151"/>
      <c r="C61" s="151"/>
      <c r="E61" s="151"/>
    </row>
    <row r="62" spans="1:12" x14ac:dyDescent="0.2">
      <c r="A62" s="151"/>
      <c r="B62" s="151"/>
      <c r="C62" s="151"/>
      <c r="E62" s="151"/>
    </row>
    <row r="63" spans="1:12" x14ac:dyDescent="0.2">
      <c r="A63" s="151"/>
      <c r="B63" s="151"/>
      <c r="C63" s="151"/>
      <c r="E63" s="151"/>
    </row>
    <row r="64" spans="1:12" x14ac:dyDescent="0.2">
      <c r="A64" s="151"/>
      <c r="B64" s="151"/>
      <c r="C64" s="151"/>
      <c r="E64" s="151"/>
    </row>
    <row r="65" spans="1:5" x14ac:dyDescent="0.2">
      <c r="A65" s="151"/>
      <c r="B65" s="151"/>
      <c r="C65" s="151"/>
      <c r="E65" s="151"/>
    </row>
  </sheetData>
  <mergeCells count="1">
    <mergeCell ref="A4:C4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1"/>
  <sheetViews>
    <sheetView zoomScaleNormal="100" workbookViewId="0">
      <selection activeCell="A4" sqref="A4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hidden="1" customWidth="1"/>
    <col min="5" max="5" width="13.7109375" style="1" hidden="1" customWidth="1"/>
    <col min="6" max="6" width="14.42578125" style="1" hidden="1" customWidth="1"/>
    <col min="7" max="7" width="12.7109375" style="1" hidden="1" customWidth="1"/>
    <col min="8" max="8" width="4.42578125" style="1" hidden="1" customWidth="1"/>
    <col min="9" max="9" width="6.85546875" style="1" hidden="1" customWidth="1"/>
    <col min="10" max="10" width="3.28515625" style="1" hidden="1" customWidth="1"/>
    <col min="11" max="11" width="0" style="1" hidden="1" customWidth="1"/>
    <col min="12" max="16384" width="9.140625" style="1"/>
  </cols>
  <sheetData>
    <row r="1" spans="1:3" x14ac:dyDescent="0.2">
      <c r="A1" s="102" t="s">
        <v>240</v>
      </c>
    </row>
    <row r="3" spans="1:3" x14ac:dyDescent="0.2">
      <c r="A3" s="1" t="s">
        <v>203</v>
      </c>
    </row>
    <row r="4" spans="1:3" x14ac:dyDescent="0.2">
      <c r="A4" s="265" t="s">
        <v>199</v>
      </c>
    </row>
    <row r="5" spans="1:3" ht="25.5" customHeight="1" x14ac:dyDescent="0.2">
      <c r="A5" s="342" t="s">
        <v>252</v>
      </c>
      <c r="B5" s="341"/>
      <c r="C5" s="341"/>
    </row>
    <row r="6" spans="1:3" x14ac:dyDescent="0.2">
      <c r="A6" s="1" t="s">
        <v>200</v>
      </c>
    </row>
    <row r="7" spans="1:3" ht="26.25" customHeight="1" x14ac:dyDescent="0.2">
      <c r="A7" s="341" t="s">
        <v>201</v>
      </c>
      <c r="B7" s="341"/>
      <c r="C7" s="341"/>
    </row>
    <row r="8" spans="1:3" x14ac:dyDescent="0.2">
      <c r="A8" s="1" t="s">
        <v>202</v>
      </c>
    </row>
    <row r="9" spans="1:3" x14ac:dyDescent="0.2">
      <c r="A9" s="1" t="s">
        <v>241</v>
      </c>
    </row>
    <row r="10" spans="1:3" ht="13.5" thickBot="1" x14ac:dyDescent="0.25"/>
    <row r="11" spans="1:3" ht="18" x14ac:dyDescent="0.25">
      <c r="B11" s="339" t="s">
        <v>226</v>
      </c>
      <c r="C11" s="340"/>
    </row>
    <row r="12" spans="1:3" ht="15" x14ac:dyDescent="0.25">
      <c r="A12" s="151"/>
      <c r="B12" s="150" t="s">
        <v>198</v>
      </c>
      <c r="C12" s="198"/>
    </row>
    <row r="13" spans="1:3" ht="15" x14ac:dyDescent="0.25">
      <c r="A13" s="151"/>
      <c r="B13" s="152" t="s">
        <v>114</v>
      </c>
      <c r="C13" s="153">
        <v>1935</v>
      </c>
    </row>
    <row r="14" spans="1:3" ht="15" x14ac:dyDescent="0.25">
      <c r="A14" s="151"/>
      <c r="B14" s="154" t="s">
        <v>115</v>
      </c>
      <c r="C14" s="153">
        <v>2742</v>
      </c>
    </row>
    <row r="15" spans="1:3" ht="14.25" x14ac:dyDescent="0.2">
      <c r="A15" s="151"/>
      <c r="B15" s="199" t="s">
        <v>116</v>
      </c>
      <c r="C15" s="200">
        <v>118</v>
      </c>
    </row>
    <row r="16" spans="1:3" ht="14.25" x14ac:dyDescent="0.2">
      <c r="A16" s="151"/>
      <c r="B16" s="199" t="s">
        <v>117</v>
      </c>
      <c r="C16" s="200">
        <v>1957</v>
      </c>
    </row>
    <row r="17" spans="1:7" ht="14.25" x14ac:dyDescent="0.2">
      <c r="A17" s="151"/>
      <c r="B17" s="199" t="s">
        <v>118</v>
      </c>
      <c r="C17" s="200">
        <v>330</v>
      </c>
    </row>
    <row r="18" spans="1:7" ht="14.25" x14ac:dyDescent="0.2">
      <c r="A18" s="151"/>
      <c r="B18" s="199" t="s">
        <v>119</v>
      </c>
      <c r="C18" s="200">
        <v>24</v>
      </c>
    </row>
    <row r="19" spans="1:7" ht="14.25" x14ac:dyDescent="0.2">
      <c r="A19" s="151"/>
      <c r="B19" s="199" t="s">
        <v>120</v>
      </c>
      <c r="C19" s="200">
        <v>280</v>
      </c>
    </row>
    <row r="20" spans="1:7" ht="14.25" x14ac:dyDescent="0.2">
      <c r="A20" s="151"/>
      <c r="B20" s="199" t="s">
        <v>121</v>
      </c>
      <c r="C20" s="200">
        <v>0</v>
      </c>
    </row>
    <row r="21" spans="1:7" ht="14.25" x14ac:dyDescent="0.2">
      <c r="A21" s="151"/>
      <c r="B21" s="199" t="s">
        <v>122</v>
      </c>
      <c r="C21" s="200">
        <v>24</v>
      </c>
    </row>
    <row r="22" spans="1:7" ht="14.25" x14ac:dyDescent="0.2">
      <c r="A22" s="151"/>
      <c r="B22" s="201" t="s">
        <v>123</v>
      </c>
      <c r="C22" s="202">
        <v>0</v>
      </c>
    </row>
    <row r="23" spans="1:7" ht="15" x14ac:dyDescent="0.25">
      <c r="A23" s="151" t="s">
        <v>124</v>
      </c>
      <c r="B23" s="150" t="s">
        <v>125</v>
      </c>
      <c r="C23" s="198"/>
    </row>
    <row r="24" spans="1:7" ht="14.25" x14ac:dyDescent="0.2">
      <c r="A24" s="151"/>
      <c r="B24" s="203" t="s">
        <v>296</v>
      </c>
      <c r="C24" s="204">
        <v>5832</v>
      </c>
    </row>
    <row r="25" spans="1:7" ht="14.25" x14ac:dyDescent="0.2">
      <c r="A25" s="151"/>
      <c r="B25" s="199" t="s">
        <v>297</v>
      </c>
      <c r="C25" s="200">
        <v>5025</v>
      </c>
    </row>
    <row r="26" spans="1:7" ht="14.25" x14ac:dyDescent="0.2">
      <c r="B26" s="199" t="s">
        <v>298</v>
      </c>
      <c r="C26" s="200">
        <v>-807</v>
      </c>
    </row>
    <row r="27" spans="1:7" ht="14.25" x14ac:dyDescent="0.2">
      <c r="B27" s="205"/>
      <c r="C27" s="206"/>
    </row>
    <row r="28" spans="1:7" ht="15" x14ac:dyDescent="0.25">
      <c r="B28" s="155" t="s">
        <v>126</v>
      </c>
      <c r="C28" s="266">
        <f>MEDIAN(C13,C14)/MEDIAN(C24,C25)</f>
        <v>0.43078198397347334</v>
      </c>
      <c r="G28" s="1">
        <f>12/C28</f>
        <v>27.856318152661963</v>
      </c>
    </row>
    <row r="29" spans="1:7" ht="15" x14ac:dyDescent="0.25">
      <c r="B29" s="152" t="s">
        <v>127</v>
      </c>
      <c r="C29" s="266">
        <f>C16/MEDIAN(C24,C25)</f>
        <v>0.36050474348346689</v>
      </c>
    </row>
    <row r="30" spans="1:7" ht="15" x14ac:dyDescent="0.25">
      <c r="B30" s="157" t="s">
        <v>128</v>
      </c>
      <c r="C30" s="156">
        <v>360</v>
      </c>
    </row>
    <row r="31" spans="1:7" ht="15" x14ac:dyDescent="0.25">
      <c r="B31" s="152" t="s">
        <v>242</v>
      </c>
      <c r="C31" s="156">
        <v>10</v>
      </c>
    </row>
    <row r="32" spans="1:7" ht="15" x14ac:dyDescent="0.25">
      <c r="B32" s="152" t="s">
        <v>243</v>
      </c>
      <c r="C32" s="156">
        <v>30</v>
      </c>
      <c r="G32" s="1">
        <f>TRUNC(G37)</f>
        <v>3</v>
      </c>
    </row>
    <row r="33" spans="2:11" ht="15" x14ac:dyDescent="0.25">
      <c r="B33" s="152" t="s">
        <v>244</v>
      </c>
      <c r="C33" s="156">
        <v>30</v>
      </c>
    </row>
    <row r="34" spans="2:11" s="102" customFormat="1" ht="15" x14ac:dyDescent="0.25">
      <c r="B34" s="152" t="s">
        <v>129</v>
      </c>
      <c r="C34" s="207">
        <f>MEDIAN(C24,C25)</f>
        <v>5428.5</v>
      </c>
    </row>
    <row r="35" spans="2:11" s="102" customFormat="1" ht="15" x14ac:dyDescent="0.25">
      <c r="B35" s="152" t="s">
        <v>38</v>
      </c>
      <c r="C35" s="208">
        <v>0.08</v>
      </c>
      <c r="K35" s="102">
        <f>IF(C39&gt;12,C39-12,C39)</f>
        <v>15.856318152661963</v>
      </c>
    </row>
    <row r="36" spans="2:11" s="102" customFormat="1" ht="15" x14ac:dyDescent="0.25">
      <c r="B36" s="152" t="s">
        <v>130</v>
      </c>
      <c r="C36" s="208">
        <v>0.5</v>
      </c>
      <c r="K36" s="102" t="e">
        <f>IF(#REF!&gt;12,#REF!-12,#REF!)</f>
        <v>#REF!</v>
      </c>
    </row>
    <row r="37" spans="2:11" s="102" customFormat="1" ht="15" x14ac:dyDescent="0.25">
      <c r="B37" s="152" t="s">
        <v>131</v>
      </c>
      <c r="C37" s="267">
        <f>((1/C28)-TRUNC(E37))</f>
        <v>0.32135984605516343</v>
      </c>
      <c r="D37" s="102">
        <f>TRUNC(E37)</f>
        <v>2</v>
      </c>
      <c r="E37" s="102">
        <f>1/C28</f>
        <v>2.3213598460551634</v>
      </c>
      <c r="F37" s="102">
        <f>((1/C28)-TRUNC(E37))</f>
        <v>0.32135984605516343</v>
      </c>
      <c r="G37" s="102">
        <f>12*F37</f>
        <v>3.8563181526619612</v>
      </c>
      <c r="K37" s="102" t="e">
        <f>IF(#REF!&gt;12,#REF!-12,#REF!)</f>
        <v>#REF!</v>
      </c>
    </row>
    <row r="38" spans="2:11" s="102" customFormat="1" ht="15" x14ac:dyDescent="0.25">
      <c r="B38" s="150" t="s">
        <v>132</v>
      </c>
      <c r="C38" s="158">
        <f>30+D38</f>
        <v>36</v>
      </c>
      <c r="D38" s="102">
        <f>3*D37</f>
        <v>6</v>
      </c>
      <c r="G38" s="102">
        <f>G37/12*40/360</f>
        <v>3.5706649561684824E-2</v>
      </c>
      <c r="K38" s="102" t="e">
        <f>IF(#REF!&gt;12,#REF!-12,#REF!)</f>
        <v>#REF!</v>
      </c>
    </row>
    <row r="39" spans="2:11" s="102" customFormat="1" ht="15.75" thickBot="1" x14ac:dyDescent="0.3">
      <c r="B39" s="159" t="s">
        <v>247</v>
      </c>
      <c r="C39" s="268">
        <f>12/C28</f>
        <v>27.856318152661963</v>
      </c>
      <c r="K39" s="102" t="e">
        <f>IF(#REF!&gt;12,#REF!-12,#REF!)</f>
        <v>#REF!</v>
      </c>
    </row>
    <row r="40" spans="2:11" x14ac:dyDescent="0.2">
      <c r="K40" s="1" t="e">
        <f t="shared" ref="K40:K41" si="0">IF(K39&gt;12,K39-12,K39)</f>
        <v>#REF!</v>
      </c>
    </row>
    <row r="41" spans="2:11" x14ac:dyDescent="0.2">
      <c r="K41" s="1" t="e">
        <f t="shared" si="0"/>
        <v>#REF!</v>
      </c>
    </row>
  </sheetData>
  <mergeCells count="3">
    <mergeCell ref="B11:C11"/>
    <mergeCell ref="A7:C7"/>
    <mergeCell ref="A5:C5"/>
  </mergeCells>
  <pageMargins left="0.90551181102362199" right="0.51181102362204722" top="0.74803149606299213" bottom="0.74803149606299213" header="0.31496062992125984" footer="0.31496062992125984"/>
  <pageSetup paperSize="9" scale="98" orientation="portrait" verticalDpi="597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2"/>
  <sheetViews>
    <sheetView zoomScaleNormal="100" workbookViewId="0">
      <selection activeCell="A20" sqref="A20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15" bestFit="1" customWidth="1"/>
    <col min="6" max="6" width="9.7109375" bestFit="1" customWidth="1"/>
  </cols>
  <sheetData>
    <row r="1" spans="1:8" s="140" customFormat="1" ht="14.25" x14ac:dyDescent="0.2">
      <c r="A1" s="11" t="s">
        <v>196</v>
      </c>
      <c r="B1" s="138"/>
      <c r="C1" s="138"/>
      <c r="E1" s="141"/>
    </row>
    <row r="2" spans="1:8" s="140" customFormat="1" ht="14.25" x14ac:dyDescent="0.2">
      <c r="A2" s="133" t="s">
        <v>248</v>
      </c>
      <c r="B2" s="138"/>
      <c r="C2" s="138"/>
      <c r="E2" s="141"/>
    </row>
    <row r="3" spans="1:8" s="140" customFormat="1" ht="14.25" x14ac:dyDescent="0.2">
      <c r="A3" s="9" t="s">
        <v>197</v>
      </c>
      <c r="B3" s="138"/>
      <c r="C3" s="138"/>
      <c r="E3" s="141"/>
    </row>
    <row r="4" spans="1:8" s="140" customFormat="1" ht="14.25" x14ac:dyDescent="0.2">
      <c r="A4" s="133"/>
      <c r="B4" s="138"/>
      <c r="C4" s="138"/>
      <c r="E4" s="141"/>
    </row>
    <row r="5" spans="1:8" s="140" customFormat="1" ht="15" thickBot="1" x14ac:dyDescent="0.25">
      <c r="B5" s="138"/>
      <c r="C5" s="138"/>
      <c r="E5" s="141"/>
    </row>
    <row r="6" spans="1:8" ht="15.75" x14ac:dyDescent="0.2">
      <c r="A6" s="348" t="s">
        <v>227</v>
      </c>
      <c r="B6" s="349"/>
      <c r="C6" s="349"/>
      <c r="D6" s="349"/>
      <c r="E6" s="349"/>
      <c r="F6" s="350"/>
    </row>
    <row r="7" spans="1:8" ht="16.5" thickBot="1" x14ac:dyDescent="0.25">
      <c r="A7" s="250"/>
      <c r="B7" s="251"/>
      <c r="C7" s="251"/>
      <c r="D7" s="251"/>
      <c r="E7" s="251"/>
      <c r="F7" s="252"/>
    </row>
    <row r="8" spans="1:8" ht="15" x14ac:dyDescent="0.25">
      <c r="A8" s="209"/>
      <c r="B8" s="139"/>
      <c r="C8" s="139"/>
      <c r="D8" s="345" t="s">
        <v>245</v>
      </c>
      <c r="E8" s="346"/>
      <c r="F8" s="347"/>
      <c r="G8" s="140"/>
      <c r="H8" s="140"/>
    </row>
    <row r="9" spans="1:8" ht="15" thickBot="1" x14ac:dyDescent="0.25">
      <c r="A9" s="205"/>
      <c r="B9" s="210"/>
      <c r="C9" s="210"/>
      <c r="D9" s="211" t="s">
        <v>183</v>
      </c>
      <c r="E9" s="212" t="s">
        <v>184</v>
      </c>
      <c r="F9" s="213" t="s">
        <v>185</v>
      </c>
      <c r="G9" s="140"/>
      <c r="H9" s="140"/>
    </row>
    <row r="10" spans="1:8" ht="14.25" x14ac:dyDescent="0.2">
      <c r="A10" s="214" t="s">
        <v>71</v>
      </c>
      <c r="B10" s="215" t="s">
        <v>72</v>
      </c>
      <c r="C10" s="297">
        <v>5.0799999999999998E-2</v>
      </c>
      <c r="D10" s="236">
        <v>2.9700000000000001E-2</v>
      </c>
      <c r="E10" s="237">
        <v>5.0799999999999998E-2</v>
      </c>
      <c r="F10" s="238">
        <v>6.2700000000000006E-2</v>
      </c>
      <c r="G10" s="140"/>
      <c r="H10" s="140"/>
    </row>
    <row r="11" spans="1:8" ht="14.25" x14ac:dyDescent="0.2">
      <c r="A11" s="217" t="s">
        <v>73</v>
      </c>
      <c r="B11" s="218" t="s">
        <v>74</v>
      </c>
      <c r="C11" s="220">
        <v>1.3299999999999999E-2</v>
      </c>
      <c r="D11" s="236">
        <f>0.3%+0.56%</f>
        <v>8.6E-3</v>
      </c>
      <c r="E11" s="237">
        <f>0.48%+0.85%</f>
        <v>1.3299999999999999E-2</v>
      </c>
      <c r="F11" s="238">
        <f>0.82%+0.89%</f>
        <v>1.7099999999999997E-2</v>
      </c>
      <c r="G11" s="140"/>
      <c r="H11" s="140"/>
    </row>
    <row r="12" spans="1:8" ht="14.25" x14ac:dyDescent="0.2">
      <c r="A12" s="217" t="s">
        <v>75</v>
      </c>
      <c r="B12" s="218" t="s">
        <v>76</v>
      </c>
      <c r="C12" s="220">
        <v>0.12</v>
      </c>
      <c r="D12" s="236">
        <v>7.7799999999999994E-2</v>
      </c>
      <c r="E12" s="237">
        <v>0.1085</v>
      </c>
      <c r="F12" s="238">
        <v>0.13550000000000001</v>
      </c>
      <c r="G12" s="140"/>
      <c r="H12" s="140"/>
    </row>
    <row r="13" spans="1:8" ht="14.25" x14ac:dyDescent="0.2">
      <c r="A13" s="217" t="s">
        <v>77</v>
      </c>
      <c r="B13" s="218" t="s">
        <v>78</v>
      </c>
      <c r="C13" s="220">
        <f>(1+E13)^(E14/252)-1</f>
        <v>0</v>
      </c>
      <c r="D13" s="236" t="s">
        <v>281</v>
      </c>
      <c r="E13" s="221"/>
      <c r="F13" s="216"/>
      <c r="G13" s="140"/>
      <c r="H13" s="140"/>
    </row>
    <row r="14" spans="1:8" ht="14.25" x14ac:dyDescent="0.2">
      <c r="A14" s="217" t="s">
        <v>79</v>
      </c>
      <c r="B14" s="343" t="s">
        <v>80</v>
      </c>
      <c r="C14" s="219">
        <v>0.03</v>
      </c>
      <c r="D14" s="292" t="s">
        <v>186</v>
      </c>
      <c r="E14" s="222"/>
      <c r="F14" s="223"/>
      <c r="G14" s="140"/>
      <c r="H14" s="140"/>
    </row>
    <row r="15" spans="1:8" ht="15" thickBot="1" x14ac:dyDescent="0.25">
      <c r="A15" s="224" t="s">
        <v>81</v>
      </c>
      <c r="B15" s="344"/>
      <c r="C15" s="225">
        <v>3.6499999999999998E-2</v>
      </c>
      <c r="D15" s="199"/>
      <c r="E15" s="226"/>
      <c r="F15" s="223"/>
      <c r="G15" s="140"/>
      <c r="H15" s="140"/>
    </row>
    <row r="16" spans="1:8" ht="14.25" x14ac:dyDescent="0.2">
      <c r="A16" s="227" t="s">
        <v>82</v>
      </c>
      <c r="B16" s="228"/>
      <c r="C16" s="229"/>
      <c r="D16" s="199"/>
      <c r="E16" s="226"/>
      <c r="F16" s="223"/>
      <c r="G16" s="140"/>
      <c r="H16" s="140"/>
    </row>
    <row r="17" spans="1:8" ht="15" thickBot="1" x14ac:dyDescent="0.25">
      <c r="A17" s="230" t="s">
        <v>83</v>
      </c>
      <c r="B17" s="231"/>
      <c r="C17" s="232"/>
      <c r="D17" s="199"/>
      <c r="E17" s="226"/>
      <c r="F17" s="223"/>
      <c r="G17" s="140"/>
      <c r="H17" s="140"/>
    </row>
    <row r="18" spans="1:8" ht="15.75" thickBot="1" x14ac:dyDescent="0.25">
      <c r="A18" s="233" t="s">
        <v>84</v>
      </c>
      <c r="B18" s="234"/>
      <c r="C18" s="235">
        <f>ROUND((((1+C10+C11)*(1+C12)*(1+C13))/(1-(C14+C15))-1),4)</f>
        <v>0.2767</v>
      </c>
      <c r="D18" s="239">
        <v>0.21429999999999999</v>
      </c>
      <c r="E18" s="240">
        <v>0.2717</v>
      </c>
      <c r="F18" s="241">
        <v>0.3362</v>
      </c>
      <c r="G18" s="140"/>
      <c r="H18" s="140"/>
    </row>
    <row r="19" spans="1:8" ht="14.25" x14ac:dyDescent="0.2">
      <c r="A19" s="140"/>
      <c r="B19" s="140"/>
      <c r="C19" s="140"/>
      <c r="D19" s="140"/>
      <c r="E19" s="141"/>
      <c r="F19" s="140"/>
      <c r="G19" s="140"/>
      <c r="H19" s="140"/>
    </row>
    <row r="20" spans="1:8" ht="14.25" x14ac:dyDescent="0.2">
      <c r="A20" s="140"/>
      <c r="B20" s="140"/>
      <c r="C20" s="140"/>
      <c r="D20" s="140"/>
      <c r="E20" s="141"/>
      <c r="F20" s="140"/>
      <c r="G20" s="140"/>
      <c r="H20" s="140"/>
    </row>
    <row r="21" spans="1:8" ht="14.25" x14ac:dyDescent="0.2">
      <c r="A21" s="140"/>
      <c r="B21" s="140"/>
      <c r="C21" s="140"/>
      <c r="D21" s="140"/>
      <c r="E21" s="141"/>
      <c r="F21" s="140"/>
      <c r="G21" s="140"/>
      <c r="H21" s="140"/>
    </row>
    <row r="22" spans="1:8" ht="14.25" x14ac:dyDescent="0.2">
      <c r="A22" s="140"/>
      <c r="B22" s="140"/>
      <c r="C22" s="140"/>
      <c r="D22" s="140"/>
      <c r="E22" s="141"/>
      <c r="F22" s="140"/>
      <c r="G22" s="140"/>
      <c r="H22" s="140"/>
    </row>
  </sheetData>
  <mergeCells count="3">
    <mergeCell ref="B14:B15"/>
    <mergeCell ref="D8:F8"/>
    <mergeCell ref="A6:F6"/>
  </mergeCells>
  <pageMargins left="0.90551181102362199" right="0.51181102362204722" top="0.74803149606299213" bottom="0.74803149606299213" header="0.31496062992125984" footer="0.31496062992125984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6" sqref="B6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51" t="s">
        <v>229</v>
      </c>
      <c r="B1" s="352"/>
    </row>
    <row r="2" spans="1:2" s="102" customFormat="1" ht="19.5" customHeight="1" x14ac:dyDescent="0.2">
      <c r="A2" s="253" t="s">
        <v>204</v>
      </c>
      <c r="B2" s="254" t="s">
        <v>283</v>
      </c>
    </row>
    <row r="3" spans="1:2" ht="19.5" customHeight="1" x14ac:dyDescent="0.2">
      <c r="A3" s="161">
        <v>1</v>
      </c>
      <c r="B3" s="160">
        <v>33.629999999999995</v>
      </c>
    </row>
    <row r="4" spans="1:2" ht="19.5" customHeight="1" x14ac:dyDescent="0.2">
      <c r="A4" s="161">
        <v>2</v>
      </c>
      <c r="B4" s="160">
        <v>43.13</v>
      </c>
    </row>
    <row r="5" spans="1:2" ht="19.5" customHeight="1" x14ac:dyDescent="0.2">
      <c r="A5" s="161">
        <v>3</v>
      </c>
      <c r="B5" s="160">
        <v>48.68</v>
      </c>
    </row>
    <row r="6" spans="1:2" ht="19.5" customHeight="1" x14ac:dyDescent="0.2">
      <c r="A6" s="161">
        <v>4</v>
      </c>
      <c r="B6" s="160">
        <v>52.62</v>
      </c>
    </row>
    <row r="7" spans="1:2" ht="19.5" customHeight="1" x14ac:dyDescent="0.2">
      <c r="A7" s="161">
        <v>5</v>
      </c>
      <c r="B7" s="160">
        <v>55.679999999999993</v>
      </c>
    </row>
    <row r="8" spans="1:2" ht="19.5" customHeight="1" x14ac:dyDescent="0.2">
      <c r="A8" s="161">
        <v>6</v>
      </c>
      <c r="B8" s="160">
        <v>58.18</v>
      </c>
    </row>
    <row r="9" spans="1:2" ht="19.5" customHeight="1" x14ac:dyDescent="0.2">
      <c r="A9" s="161">
        <v>7</v>
      </c>
      <c r="B9" s="160">
        <v>60.29</v>
      </c>
    </row>
    <row r="10" spans="1:2" ht="19.5" customHeight="1" x14ac:dyDescent="0.2">
      <c r="A10" s="161">
        <v>8</v>
      </c>
      <c r="B10" s="160">
        <v>62.12</v>
      </c>
    </row>
    <row r="11" spans="1:2" ht="19.5" customHeight="1" x14ac:dyDescent="0.2">
      <c r="A11" s="161">
        <v>9</v>
      </c>
      <c r="B11" s="160">
        <v>63.73</v>
      </c>
    </row>
    <row r="12" spans="1:2" ht="19.5" customHeight="1" x14ac:dyDescent="0.2">
      <c r="A12" s="161">
        <v>10</v>
      </c>
      <c r="B12" s="160">
        <v>65.180000000000007</v>
      </c>
    </row>
    <row r="13" spans="1:2" ht="19.5" customHeight="1" x14ac:dyDescent="0.2">
      <c r="A13" s="161">
        <v>11</v>
      </c>
      <c r="B13" s="160">
        <v>66.47999999999999</v>
      </c>
    </row>
    <row r="14" spans="1:2" ht="19.5" customHeight="1" x14ac:dyDescent="0.2">
      <c r="A14" s="161">
        <v>12</v>
      </c>
      <c r="B14" s="160">
        <v>67.67</v>
      </c>
    </row>
    <row r="15" spans="1:2" ht="19.5" customHeight="1" x14ac:dyDescent="0.2">
      <c r="A15" s="161">
        <v>13</v>
      </c>
      <c r="B15" s="160">
        <v>68.77</v>
      </c>
    </row>
    <row r="16" spans="1:2" ht="19.5" customHeight="1" x14ac:dyDescent="0.2">
      <c r="A16" s="161">
        <v>14</v>
      </c>
      <c r="B16" s="160">
        <v>69.789999999999992</v>
      </c>
    </row>
    <row r="17" spans="1:2" ht="19.5" customHeight="1" thickBot="1" x14ac:dyDescent="0.25">
      <c r="A17" s="162">
        <v>15</v>
      </c>
      <c r="B17" s="163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verticalDpi="597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45" t="s">
        <v>233</v>
      </c>
    </row>
    <row r="2" spans="1:1" x14ac:dyDescent="0.2">
      <c r="A2" s="242"/>
    </row>
    <row r="3" spans="1:1" x14ac:dyDescent="0.2">
      <c r="A3" s="242" t="s">
        <v>249</v>
      </c>
    </row>
    <row r="4" spans="1:1" x14ac:dyDescent="0.2">
      <c r="A4" s="242"/>
    </row>
    <row r="5" spans="1:1" x14ac:dyDescent="0.2">
      <c r="A5" s="242"/>
    </row>
    <row r="6" spans="1:1" x14ac:dyDescent="0.2">
      <c r="A6" s="242"/>
    </row>
    <row r="7" spans="1:1" x14ac:dyDescent="0.2">
      <c r="A7" s="242"/>
    </row>
    <row r="8" spans="1:1" x14ac:dyDescent="0.2">
      <c r="A8" s="242"/>
    </row>
    <row r="9" spans="1:1" x14ac:dyDescent="0.2">
      <c r="A9" s="242"/>
    </row>
    <row r="10" spans="1:1" x14ac:dyDescent="0.2">
      <c r="A10" s="242"/>
    </row>
    <row r="11" spans="1:1" x14ac:dyDescent="0.2">
      <c r="A11" s="242"/>
    </row>
    <row r="12" spans="1:1" ht="19.5" x14ac:dyDescent="0.35">
      <c r="A12" s="243" t="s">
        <v>230</v>
      </c>
    </row>
    <row r="13" spans="1:1" ht="15" x14ac:dyDescent="0.2">
      <c r="A13" s="243" t="s">
        <v>99</v>
      </c>
    </row>
    <row r="14" spans="1:1" ht="15" x14ac:dyDescent="0.2">
      <c r="A14" s="243" t="s">
        <v>104</v>
      </c>
    </row>
    <row r="15" spans="1:1" ht="19.5" x14ac:dyDescent="0.35">
      <c r="A15" s="243" t="s">
        <v>231</v>
      </c>
    </row>
    <row r="16" spans="1:1" ht="19.5" x14ac:dyDescent="0.35">
      <c r="A16" s="243" t="s">
        <v>232</v>
      </c>
    </row>
    <row r="17" spans="1:1" ht="15.75" thickBot="1" x14ac:dyDescent="0.25">
      <c r="A17" s="244" t="s">
        <v>100</v>
      </c>
    </row>
  </sheetData>
  <pageMargins left="0.90551181102362199" right="0.51181102362204722" top="0.74803149606299213" bottom="0.74803149606299213" header="0.31496062992125984" footer="0.31496062992125984"/>
  <pageSetup paperSize="9" orientation="portrait" verticalDpi="597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1"/>
  <sheetViews>
    <sheetView topLeftCell="A7" zoomScale="170" zoomScaleNormal="170" workbookViewId="0">
      <selection activeCell="C10" sqref="C10"/>
    </sheetView>
  </sheetViews>
  <sheetFormatPr defaultRowHeight="12.75" x14ac:dyDescent="0.2"/>
  <cols>
    <col min="1" max="1" width="58.28515625" style="265" customWidth="1"/>
    <col min="2" max="2" width="11.140625" style="265" bestFit="1" customWidth="1"/>
    <col min="3" max="3" width="11.28515625" style="265" bestFit="1" customWidth="1"/>
    <col min="4" max="16384" width="9.140625" style="265"/>
  </cols>
  <sheetData>
    <row r="1" spans="1:3" x14ac:dyDescent="0.2">
      <c r="A1" s="11" t="s">
        <v>196</v>
      </c>
    </row>
    <row r="2" spans="1:3" x14ac:dyDescent="0.2">
      <c r="A2" s="273" t="s">
        <v>258</v>
      </c>
    </row>
    <row r="3" spans="1:3" x14ac:dyDescent="0.2">
      <c r="A3" s="273" t="s">
        <v>284</v>
      </c>
    </row>
    <row r="4" spans="1:3" x14ac:dyDescent="0.2">
      <c r="A4" s="7" t="s">
        <v>282</v>
      </c>
    </row>
    <row r="5" spans="1:3" ht="13.5" thickBot="1" x14ac:dyDescent="0.25"/>
    <row r="6" spans="1:3" ht="18" x14ac:dyDescent="0.25">
      <c r="A6" s="353" t="s">
        <v>278</v>
      </c>
      <c r="B6" s="354"/>
      <c r="C6" s="355"/>
    </row>
    <row r="7" spans="1:3" s="274" customFormat="1" ht="18" x14ac:dyDescent="0.25">
      <c r="A7" s="289"/>
      <c r="B7" s="288"/>
      <c r="C7" s="290"/>
    </row>
    <row r="8" spans="1:3" s="102" customFormat="1" ht="15" x14ac:dyDescent="0.25">
      <c r="A8" s="275" t="s">
        <v>279</v>
      </c>
      <c r="B8" s="276" t="s">
        <v>259</v>
      </c>
      <c r="C8" s="277" t="s">
        <v>135</v>
      </c>
    </row>
    <row r="9" spans="1:3" ht="14.25" x14ac:dyDescent="0.2">
      <c r="A9" s="278" t="s">
        <v>267</v>
      </c>
      <c r="B9" s="279" t="s">
        <v>260</v>
      </c>
      <c r="C9" s="200">
        <v>6867</v>
      </c>
    </row>
    <row r="10" spans="1:3" ht="14.25" x14ac:dyDescent="0.2">
      <c r="A10" s="199" t="s">
        <v>268</v>
      </c>
      <c r="B10" s="280" t="s">
        <v>265</v>
      </c>
      <c r="C10" s="281">
        <f>0.0362741*C9^0.2336249</f>
        <v>0.28573337020618361</v>
      </c>
    </row>
    <row r="11" spans="1:3" ht="14.25" x14ac:dyDescent="0.2">
      <c r="A11" s="199" t="s">
        <v>269</v>
      </c>
      <c r="B11" s="280" t="s">
        <v>266</v>
      </c>
      <c r="C11" s="282">
        <f>C9*C10/1000</f>
        <v>1.9621310532058629</v>
      </c>
    </row>
    <row r="12" spans="1:3" ht="14.25" x14ac:dyDescent="0.2">
      <c r="A12" s="199" t="s">
        <v>275</v>
      </c>
      <c r="B12" s="280" t="s">
        <v>261</v>
      </c>
      <c r="C12" s="283">
        <f>(C11*30)</f>
        <v>58.863931596175888</v>
      </c>
    </row>
    <row r="13" spans="1:3" ht="14.25" x14ac:dyDescent="0.2">
      <c r="A13" s="199" t="s">
        <v>271</v>
      </c>
      <c r="B13" s="280" t="s">
        <v>86</v>
      </c>
      <c r="C13" s="286">
        <v>4</v>
      </c>
    </row>
    <row r="14" spans="1:3" ht="14.25" x14ac:dyDescent="0.2">
      <c r="A14" s="199" t="s">
        <v>270</v>
      </c>
      <c r="B14" s="280" t="s">
        <v>266</v>
      </c>
      <c r="C14" s="282">
        <f>IFERROR(C11*7/C13,0)</f>
        <v>3.4337293431102602</v>
      </c>
    </row>
    <row r="15" spans="1:3" ht="14.25" x14ac:dyDescent="0.2">
      <c r="A15" s="278" t="s">
        <v>262</v>
      </c>
      <c r="B15" s="280" t="s">
        <v>263</v>
      </c>
      <c r="C15" s="223">
        <v>500</v>
      </c>
    </row>
    <row r="16" spans="1:3" ht="14.25" x14ac:dyDescent="0.2">
      <c r="A16" s="199" t="s">
        <v>276</v>
      </c>
      <c r="B16" s="280"/>
      <c r="C16" s="200">
        <v>1</v>
      </c>
    </row>
    <row r="17" spans="1:3" ht="14.25" x14ac:dyDescent="0.2">
      <c r="A17" s="278" t="s">
        <v>277</v>
      </c>
      <c r="B17" s="280" t="s">
        <v>264</v>
      </c>
      <c r="C17" s="200">
        <v>15</v>
      </c>
    </row>
    <row r="18" spans="1:3" ht="14.25" x14ac:dyDescent="0.2">
      <c r="A18" s="199" t="s">
        <v>272</v>
      </c>
      <c r="B18" s="280" t="s">
        <v>261</v>
      </c>
      <c r="C18" s="223">
        <f>IF(AND(C17&gt;=15,C16=1),5.8,C17/2)</f>
        <v>5.8</v>
      </c>
    </row>
    <row r="19" spans="1:3" ht="14.25" x14ac:dyDescent="0.2">
      <c r="A19" s="278" t="s">
        <v>273</v>
      </c>
      <c r="B19" s="280"/>
      <c r="C19" s="282">
        <f>IFERROR(C14/C18,0)</f>
        <v>0.59202230053625182</v>
      </c>
    </row>
    <row r="20" spans="1:3" ht="14.25" x14ac:dyDescent="0.2">
      <c r="A20" s="278" t="s">
        <v>280</v>
      </c>
      <c r="B20" s="280"/>
      <c r="C20" s="291">
        <v>1</v>
      </c>
    </row>
    <row r="21" spans="1:3" ht="15" thickBot="1" x14ac:dyDescent="0.25">
      <c r="A21" s="284" t="s">
        <v>274</v>
      </c>
      <c r="B21" s="285"/>
      <c r="C21" s="287">
        <f>IFERROR(C19/C20,0)</f>
        <v>0.59202230053625182</v>
      </c>
    </row>
  </sheetData>
  <mergeCells count="1">
    <mergeCell ref="A6:C6"/>
  </mergeCells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Usuario</cp:lastModifiedBy>
  <cp:lastPrinted>2018-07-12T19:25:55Z</cp:lastPrinted>
  <dcterms:created xsi:type="dcterms:W3CDTF">2000-12-13T10:02:50Z</dcterms:created>
  <dcterms:modified xsi:type="dcterms:W3CDTF">2018-08-27T17:21:27Z</dcterms:modified>
</cp:coreProperties>
</file>