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90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Domiciliar'!$A$1:$F$268</definedName>
    <definedName name="_xlnm.Print_Area" localSheetId="1">'2.Encargos Sociais'!$A$1:$C$36</definedName>
    <definedName name="_xlnm.Print_Titles" localSheetId="0">'1. Coleta Domiciliar'!$1:$6</definedName>
  </definedNames>
  <calcPr calcId="145621" iterate="1" iterateCount="50"/>
</workbook>
</file>

<file path=xl/calcChain.xml><?xml version="1.0" encoding="utf-8"?>
<calcChain xmlns="http://schemas.openxmlformats.org/spreadsheetml/2006/main">
  <c r="F84" i="2" l="1"/>
  <c r="E197" i="2" l="1"/>
  <c r="F198" i="2" s="1"/>
  <c r="C138" i="2" l="1"/>
  <c r="C227" i="2"/>
  <c r="E227" i="2" s="1"/>
  <c r="D228" i="2" s="1"/>
  <c r="E228" i="2" s="1"/>
  <c r="C229" i="2" l="1"/>
  <c r="E229" i="2" s="1"/>
  <c r="D230" i="2" s="1"/>
  <c r="E230" i="2" s="1"/>
  <c r="E67" i="2"/>
  <c r="E52" i="2"/>
  <c r="F231" i="2" l="1"/>
  <c r="F233" i="2" s="1"/>
  <c r="C137" i="2"/>
  <c r="C142" i="2" s="1"/>
  <c r="E53" i="2"/>
  <c r="D54" i="2" s="1"/>
  <c r="E54" i="2" s="1"/>
  <c r="E68" i="2" l="1"/>
  <c r="D69" i="2" s="1"/>
  <c r="E69" i="2" s="1"/>
  <c r="E146" i="2" l="1"/>
  <c r="E162" i="2" s="1"/>
  <c r="E170" i="2" s="1"/>
  <c r="D180" i="2" l="1"/>
  <c r="D182" i="2"/>
  <c r="E36" i="2" l="1"/>
  <c r="E35" i="2"/>
  <c r="E40" i="2"/>
  <c r="C88" i="2" l="1"/>
  <c r="C123" i="2"/>
  <c r="C89" i="2"/>
  <c r="C110" i="2"/>
  <c r="C161" i="2"/>
  <c r="D186" i="2"/>
  <c r="D184" i="2"/>
  <c r="D116" i="2" l="1"/>
  <c r="E116" i="2" s="1"/>
  <c r="E100" i="2"/>
  <c r="E101" i="2"/>
  <c r="E102" i="2"/>
  <c r="E103" i="2"/>
  <c r="E104" i="2"/>
  <c r="E105" i="2"/>
  <c r="E106" i="2"/>
  <c r="E107" i="2"/>
  <c r="E108" i="2"/>
  <c r="E99" i="2"/>
  <c r="C206" i="2" l="1"/>
  <c r="C16" i="9"/>
  <c r="C10" i="9"/>
  <c r="C11" i="9" s="1"/>
  <c r="C12" i="9" s="1"/>
  <c r="A26" i="2"/>
  <c r="A25" i="2"/>
  <c r="A24" i="2"/>
  <c r="A23" i="2"/>
  <c r="A22" i="2"/>
  <c r="A21" i="2"/>
  <c r="A20" i="2"/>
  <c r="A17" i="2"/>
  <c r="A16" i="2"/>
  <c r="A15" i="2"/>
  <c r="A14" i="2"/>
  <c r="C17" i="8"/>
  <c r="D150" i="2"/>
  <c r="C13" i="4"/>
  <c r="C19" i="4" s="1"/>
  <c r="C240" i="2" s="1"/>
  <c r="F11" i="4"/>
  <c r="E11" i="4"/>
  <c r="D11" i="4"/>
  <c r="C14" i="8"/>
  <c r="C34" i="5"/>
  <c r="C29" i="5"/>
  <c r="C28" i="8" s="1"/>
  <c r="C28" i="5"/>
  <c r="E65" i="2"/>
  <c r="C204" i="2"/>
  <c r="E204" i="2" s="1"/>
  <c r="C178" i="2"/>
  <c r="C180" i="2" s="1"/>
  <c r="E180" i="2" s="1"/>
  <c r="D178" i="2"/>
  <c r="D187" i="2" s="1"/>
  <c r="E134" i="2"/>
  <c r="D155" i="2"/>
  <c r="C143" i="2"/>
  <c r="C139" i="2"/>
  <c r="C155" i="2" s="1"/>
  <c r="A13" i="2"/>
  <c r="A18" i="2"/>
  <c r="A19" i="2"/>
  <c r="A27" i="2"/>
  <c r="A28" i="2"/>
  <c r="A29" i="2"/>
  <c r="A35" i="2"/>
  <c r="A36" i="2"/>
  <c r="A40" i="2"/>
  <c r="E50" i="2"/>
  <c r="E109" i="2"/>
  <c r="D117" i="2"/>
  <c r="E117" i="2" s="1"/>
  <c r="D118" i="2"/>
  <c r="E118" i="2" s="1"/>
  <c r="D119" i="2"/>
  <c r="E119" i="2" s="1"/>
  <c r="D120" i="2"/>
  <c r="E120" i="2" s="1"/>
  <c r="D121" i="2"/>
  <c r="E121" i="2" s="1"/>
  <c r="E122" i="2"/>
  <c r="C166" i="2"/>
  <c r="E202" i="2"/>
  <c r="C168" i="2"/>
  <c r="E168" i="2" s="1"/>
  <c r="C167" i="2"/>
  <c r="E167" i="2" s="1"/>
  <c r="E215" i="2"/>
  <c r="E218" i="2"/>
  <c r="E219" i="2"/>
  <c r="E216" i="2"/>
  <c r="E217" i="2"/>
  <c r="D137" i="2" l="1"/>
  <c r="E137" i="2" s="1"/>
  <c r="D138" i="2" s="1"/>
  <c r="E138" i="2" s="1"/>
  <c r="C152" i="2"/>
  <c r="D123" i="2"/>
  <c r="E71" i="2"/>
  <c r="E72" i="2" s="1"/>
  <c r="C17" i="9"/>
  <c r="C27" i="8"/>
  <c r="G28" i="5"/>
  <c r="C39" i="5"/>
  <c r="E37" i="5"/>
  <c r="D37" i="5" s="1"/>
  <c r="D38" i="5" s="1"/>
  <c r="C38" i="5" s="1"/>
  <c r="C24" i="8" s="1"/>
  <c r="C32" i="8" s="1"/>
  <c r="C184" i="2"/>
  <c r="E184" i="2" s="1"/>
  <c r="C186" i="2"/>
  <c r="E186" i="2" s="1"/>
  <c r="F220" i="2"/>
  <c r="F222" i="2" s="1"/>
  <c r="E27" i="2" s="1"/>
  <c r="E81" i="2"/>
  <c r="E178" i="2"/>
  <c r="E139" i="2"/>
  <c r="C157" i="2" s="1"/>
  <c r="D110" i="2"/>
  <c r="E80" i="2"/>
  <c r="E37" i="2"/>
  <c r="E88" i="2"/>
  <c r="E155" i="2"/>
  <c r="E89" i="2"/>
  <c r="E56" i="2"/>
  <c r="E57" i="2" s="1"/>
  <c r="D58" i="2" s="1"/>
  <c r="C182" i="2"/>
  <c r="E182" i="2" s="1"/>
  <c r="C192" i="2"/>
  <c r="E192" i="2" s="1"/>
  <c r="F193" i="2" s="1"/>
  <c r="E25" i="2" s="1"/>
  <c r="E150" i="2"/>
  <c r="D205" i="2"/>
  <c r="E205" i="2" s="1"/>
  <c r="D206" i="2" s="1"/>
  <c r="E206" i="2" s="1"/>
  <c r="F207" i="2" s="1"/>
  <c r="E26" i="2" s="1"/>
  <c r="E166" i="2"/>
  <c r="D169" i="2" s="1"/>
  <c r="E169" i="2" s="1"/>
  <c r="F170" i="2" s="1"/>
  <c r="E23" i="2" s="1"/>
  <c r="E28" i="2" l="1"/>
  <c r="C153" i="2"/>
  <c r="D154" i="2" s="1"/>
  <c r="E154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E16" i="2"/>
  <c r="F90" i="2"/>
  <c r="E17" i="2" s="1"/>
  <c r="E123" i="2"/>
  <c r="F124" i="2" s="1"/>
  <c r="E110" i="2"/>
  <c r="F111" i="2" s="1"/>
  <c r="D142" i="2"/>
  <c r="E142" i="2" s="1"/>
  <c r="D143" i="2" s="1"/>
  <c r="E143" i="2" s="1"/>
  <c r="F188" i="2"/>
  <c r="E24" i="2" s="1"/>
  <c r="D73" i="2"/>
  <c r="C29" i="8" l="1"/>
  <c r="C34" i="8" s="1"/>
  <c r="C58" i="2" s="1"/>
  <c r="G38" i="5"/>
  <c r="G32" i="5"/>
  <c r="E144" i="2"/>
  <c r="D145" i="2" s="1"/>
  <c r="E145" i="2" s="1"/>
  <c r="F146" i="2" s="1"/>
  <c r="E21" i="2" s="1"/>
  <c r="C158" i="2"/>
  <c r="D159" i="2" s="1"/>
  <c r="E159" i="2" s="1"/>
  <c r="E160" i="2" s="1"/>
  <c r="D161" i="2" s="1"/>
  <c r="E161" i="2" s="1"/>
  <c r="F162" i="2" s="1"/>
  <c r="F126" i="2"/>
  <c r="E18" i="2" s="1"/>
  <c r="E58" i="2" l="1"/>
  <c r="E59" i="2" s="1"/>
  <c r="D60" i="2" s="1"/>
  <c r="E60" i="2" s="1"/>
  <c r="F61" i="2" s="1"/>
  <c r="C73" i="2"/>
  <c r="E22" i="2"/>
  <c r="E20" i="2" s="1"/>
  <c r="F210" i="2"/>
  <c r="E19" i="2" l="1"/>
  <c r="E14" i="2"/>
  <c r="E73" i="2"/>
  <c r="E74" i="2" s="1"/>
  <c r="D75" i="2" s="1"/>
  <c r="E75" i="2" s="1"/>
  <c r="F76" i="2" s="1"/>
  <c r="E15" i="2" s="1"/>
  <c r="F92" i="2" l="1"/>
  <c r="F235" i="2" s="1"/>
  <c r="E13" i="2" l="1"/>
  <c r="D240" i="2"/>
  <c r="E240" i="2" s="1"/>
  <c r="F241" i="2" s="1"/>
  <c r="F243" i="2" s="1"/>
  <c r="E29" i="2" s="1"/>
  <c r="E30" i="2" l="1"/>
  <c r="F13" i="2" s="1"/>
  <c r="F246" i="2"/>
  <c r="F251" i="2" s="1"/>
  <c r="F14" i="2" l="1"/>
  <c r="F18" i="2"/>
  <c r="F28" i="2"/>
  <c r="F17" i="2"/>
  <c r="F19" i="2"/>
  <c r="F26" i="2"/>
  <c r="F25" i="2"/>
  <c r="F15" i="2"/>
  <c r="F20" i="2"/>
  <c r="F21" i="2"/>
  <c r="F22" i="2"/>
  <c r="F16" i="2"/>
  <c r="F23" i="2"/>
  <c r="F27" i="2"/>
  <c r="F24" i="2"/>
  <c r="F29" i="2"/>
  <c r="F30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0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51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52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3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5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5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66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8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0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71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0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1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8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89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09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1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2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2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35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36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37" authorId="0">
      <text>
        <r>
          <rPr>
            <b/>
            <sz val="9"/>
            <color indexed="81"/>
            <rFont val="Tahoma"/>
            <family val="2"/>
          </rPr>
          <t>Informar o valor da depreciação do caminhão, adotando o valor sugerido pelo TCE ou justificar valor diferenciado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9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40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41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42" authorId="0">
      <text>
        <r>
          <rPr>
            <b/>
            <sz val="9"/>
            <color indexed="81"/>
            <rFont val="Tahoma"/>
            <family val="2"/>
          </rPr>
          <t>Informar o valor da depreciação do caminhão, adotando o valor sugerido pelo TCE ou justificar valor diferenciado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5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51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7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68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174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77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79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79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81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81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83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83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85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85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92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D197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02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02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03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04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05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21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24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7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29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40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49" author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total do município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4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5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</commentList>
</comments>
</file>

<file path=xl/sharedStrings.xml><?xml version="1.0" encoding="utf-8"?>
<sst xmlns="http://schemas.openxmlformats.org/spreadsheetml/2006/main" count="511" uniqueCount="306">
  <si>
    <t>Adicional de Insalubridade</t>
  </si>
  <si>
    <t>%</t>
  </si>
  <si>
    <t>Soma</t>
  </si>
  <si>
    <t>Encargos Sociais</t>
  </si>
  <si>
    <t>Total do Efetivo</t>
  </si>
  <si>
    <t>homem</t>
  </si>
  <si>
    <t>mês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</si>
  <si>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</si>
  <si>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</si>
  <si>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</si>
  <si>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</si>
  <si>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</si>
  <si>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</si>
  <si>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</si>
  <si>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</si>
  <si>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</si>
  <si>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</si>
  <si>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</si>
  <si>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</si>
  <si>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</si>
  <si>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</si>
  <si>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</si>
  <si>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</si>
  <si>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</si>
  <si>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</si>
  <si>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</si>
  <si>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</si>
  <si>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</si>
  <si>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</si>
  <si>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</si>
  <si>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</si>
  <si>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</si>
  <si>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</si>
  <si>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</si>
  <si>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</si>
  <si>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</si>
  <si>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</si>
  <si>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</si>
  <si>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</si>
  <si>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</si>
  <si>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</si>
  <si>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</si>
  <si>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</si>
  <si>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</si>
  <si>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</si>
  <si>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</si>
  <si>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</si>
  <si>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</si>
  <si>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</si>
  <si>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</si>
  <si>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</si>
  <si>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</si>
  <si>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</si>
  <si>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</si>
  <si>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</si>
  <si>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</si>
  <si>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</si>
  <si>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</si>
  <si>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</si>
  <si>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</si>
  <si>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</si>
  <si>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</si>
  <si>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</si>
  <si>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</si>
  <si>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</si>
  <si>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</si>
  <si>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</si>
  <si>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</si>
  <si>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</si>
  <si>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</si>
  <si>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</si>
  <si>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</si>
  <si>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</si>
  <si>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</si>
  <si>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</si>
  <si>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</si>
  <si>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</si>
  <si>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</si>
  <si>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</si>
  <si>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</si>
  <si>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</si>
  <si>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</si>
  <si>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</si>
  <si>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</si>
  <si>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</si>
  <si>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</si>
  <si>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</si>
  <si>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</si>
  <si>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Custo Mensal com Mão-de-obra (R$/mês)</t>
  </si>
  <si>
    <t>Meia de algodão com cano alto</t>
  </si>
  <si>
    <t>Custo do jogo de pneus xxx/xx Rxx</t>
  </si>
  <si>
    <t>Quantitativos</t>
  </si>
  <si>
    <t>1.1. Coletor Turno Dia</t>
  </si>
  <si>
    <t>Média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</si>
  <si>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</si>
  <si>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</si>
  <si>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</si>
  <si>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</si>
  <si>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</si>
  <si>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</si>
  <si>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</si>
  <si>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</si>
  <si>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</si>
  <si>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</si>
  <si>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</si>
  <si>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</si>
  <si>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</si>
  <si>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</si>
  <si>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</si>
  <si>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</si>
  <si>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</si>
  <si>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</si>
  <si>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</si>
  <si>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</si>
  <si>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</si>
  <si>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</si>
  <si>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</si>
  <si>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</si>
  <si>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</si>
  <si>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</si>
  <si>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</si>
  <si>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</si>
  <si>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</si>
  <si>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</si>
  <si>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</si>
  <si>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</si>
  <si>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</si>
  <si>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</si>
  <si>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</si>
  <si>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</si>
  <si>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</si>
  <si>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</si>
  <si>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</si>
  <si>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</si>
  <si>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</si>
  <si>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</si>
  <si>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</si>
  <si>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</si>
  <si>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</si>
  <si>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</si>
  <si>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</si>
  <si>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</si>
  <si>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</si>
  <si>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</si>
  <si>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</si>
  <si>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</si>
  <si>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</si>
  <si>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</si>
  <si>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</si>
  <si>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</si>
  <si>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</si>
  <si>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</si>
  <si>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</si>
  <si>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</si>
  <si>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</si>
  <si>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</si>
  <si>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</si>
  <si>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</si>
  <si>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</si>
  <si>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</si>
  <si>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</si>
  <si>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</si>
  <si>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</si>
  <si>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</si>
  <si>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</si>
  <si>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</si>
  <si>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</si>
  <si>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</si>
  <si>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</si>
  <si>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</si>
  <si>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</si>
  <si>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</si>
  <si>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</si>
  <si>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</si>
  <si>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</si>
  <si>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</si>
  <si>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</si>
  <si>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</si>
  <si>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</si>
  <si>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</si>
  <si>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</si>
  <si>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</si>
  <si>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</si>
  <si>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</si>
  <si>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</si>
  <si>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</si>
  <si>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</si>
  <si>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</si>
  <si>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</si>
  <si>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SELIC</t>
  </si>
  <si>
    <t>DU</t>
  </si>
  <si>
    <t>Licenciamento e Seguro obrigatório</t>
  </si>
  <si>
    <t>Fator de utilização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</si>
  <si>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</si>
  <si>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</si>
  <si>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</si>
  <si>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</si>
  <si>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</si>
  <si>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</si>
  <si>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</si>
  <si>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</si>
  <si>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</si>
  <si>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</si>
  <si>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</si>
  <si>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</si>
  <si>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</si>
  <si>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Quadro 1</t>
  </si>
  <si>
    <t>Unid</t>
  </si>
  <si>
    <t>População</t>
  </si>
  <si>
    <t>hab</t>
  </si>
  <si>
    <t>Geração per capita (Kg/hab/dia)</t>
  </si>
  <si>
    <t>Geração total diária</t>
  </si>
  <si>
    <t>ton</t>
  </si>
  <si>
    <t>Geração semanal</t>
  </si>
  <si>
    <t>Densidade RSU compactado</t>
  </si>
  <si>
    <t>Kg/m³</t>
  </si>
  <si>
    <t>Veículo (1 = toco, 2 = truck)</t>
  </si>
  <si>
    <t>Compactador</t>
  </si>
  <si>
    <t>m³</t>
  </si>
  <si>
    <t>Capacidade nominal</t>
  </si>
  <si>
    <t>Número de Cargas por semana</t>
  </si>
  <si>
    <t>Piso da categoria</t>
  </si>
  <si>
    <t>Base de cálculo da Insalubridade</t>
  </si>
  <si>
    <t>Piso da categoria (1)</t>
  </si>
  <si>
    <t>Salário mínimo nacional (2)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</si>
  <si>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</si>
  <si>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</si>
  <si>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</si>
  <si>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</si>
  <si>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</si>
  <si>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</si>
  <si>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</si>
  <si>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</si>
  <si>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</si>
  <si>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</si>
  <si>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</si>
  <si>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</si>
  <si>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</si>
  <si>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</si>
  <si>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</si>
  <si>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</si>
  <si>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</si>
  <si>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</si>
  <si>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</si>
  <si>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7. Estimativa de cargas semanais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</si>
  <si>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</si>
  <si>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</si>
  <si>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</si>
  <si>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</si>
  <si>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</si>
  <si>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</si>
  <si>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</si>
  <si>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</si>
  <si>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</si>
  <si>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</si>
  <si>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</si>
  <si>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</si>
  <si>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</si>
  <si>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</si>
  <si>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</si>
  <si>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</si>
  <si>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</si>
  <si>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</si>
  <si>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</si>
  <si>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</si>
  <si>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</si>
  <si>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COLETA</t>
  </si>
  <si>
    <t>TRANSPORTE</t>
  </si>
  <si>
    <t>MOTORISTA</t>
  </si>
  <si>
    <t>Motorista ( Refeição - Turno completo)</t>
  </si>
  <si>
    <t>Coletor ( Lanche - Meio Turno)</t>
  </si>
  <si>
    <t>COLETOR</t>
  </si>
  <si>
    <t>TRANSP.</t>
  </si>
  <si>
    <t>1.2. Motorista Turno do Dia</t>
  </si>
  <si>
    <t>1.3. Vale-refeição (diário)</t>
  </si>
  <si>
    <t>1.4. Auxílio Alimentação (mensal)</t>
  </si>
  <si>
    <t>Horas Extras (50%)</t>
  </si>
  <si>
    <t>hora</t>
  </si>
  <si>
    <t>Descanso Semanal Remunerado (DSR) - hora extra</t>
  </si>
  <si>
    <r>
      <t xml:space="preserve">Custo jg. compl. + </t>
    </r>
    <r>
      <rPr>
        <sz val="10"/>
        <rFont val="Arial"/>
        <family val="2"/>
      </rPr>
      <t xml:space="preserve"> recap./ km rodado</t>
    </r>
  </si>
  <si>
    <t>Opção pelo Simples Nacional</t>
  </si>
  <si>
    <t>Horas Extras (100%)</t>
  </si>
  <si>
    <t>O valor do salário mensal é o definido pelo básico da categoria, conforme convenção coletiva do sindicato;</t>
  </si>
  <si>
    <t>A composição de encargos sociais segue os modelos do tribunal de contas do Estado do Rio Grande do Sul;</t>
  </si>
  <si>
    <t>O motorista terá direito a uma refeição completa, pois trabalhará nos dois turnos;</t>
  </si>
  <si>
    <t>Os coletores terão direito a um lanche, pois terão trabalho em um turno;</t>
  </si>
  <si>
    <t xml:space="preserve">O veículo que esta sendo considerado é veículo zero quilômetro; </t>
  </si>
  <si>
    <t xml:space="preserve">Para os cálculos de ISS e PIS/COFINS estão sendo aplicados os percentuais referentes a lucro presumido; </t>
  </si>
  <si>
    <t xml:space="preserve">Os valores dos itens de consumo e dos itens de rodagem foram definidos com base em Registro de Preços vigentes no órgão licitador; </t>
  </si>
  <si>
    <t>Os valores dos uniformes foram definidos com base na média aritmética simples de orçamentos feitos em lojas do ramo.</t>
  </si>
  <si>
    <t>3.1. Veículo Coletor Compactador 10 m³</t>
  </si>
  <si>
    <t>O coletor fará 6 horas por dia, segunda-feira, terça-feira, quarta-feira e sexta- feira</t>
  </si>
  <si>
    <t>Os dados referentes a tempo de consumo, duração de itens e índice médio de custo de manutenção dos veículos foram definidos pela Secretaria de Obras e Serviços e Públicos.</t>
  </si>
  <si>
    <t xml:space="preserve">O veículo e o compactador que realizará os serviços deverá ter capacidade de no mínimo 10 m³ e ano de fabricação não superior a 05(cinco) anos. </t>
  </si>
  <si>
    <t>3.1.7. Pneus</t>
  </si>
  <si>
    <t>3.1.6. Containers</t>
  </si>
  <si>
    <t>Total</t>
  </si>
  <si>
    <t>Ttoal do Efetivo</t>
  </si>
  <si>
    <t>homen</t>
  </si>
  <si>
    <t>132 horas</t>
  </si>
  <si>
    <t>ANEXO - XIII</t>
  </si>
  <si>
    <t>Aluguel de containers</t>
  </si>
  <si>
    <t>44 horas</t>
  </si>
  <si>
    <t xml:space="preserve">As obrigações trabalhistas dos coletores de lixo e do  motoristaforam determinadas com base nas Convençãoes  Coletivas de Trabalho 2018/2018 do  SEEAC/RS e  2017/2018 do SITRACOVER </t>
  </si>
  <si>
    <t>A base de cálculo para o adicional de insalubridade tem como base o piso salarial da categoria.</t>
  </si>
  <si>
    <t>O  preço  do  óleo diesel S10  utilizado na planilha é  o  mesmo pago pela  Prefeitura  Municipal de  Faxinal do Soturno, estabecido por  licitação.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</si>
</sst>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_-* #,##0_-;\-* #,##0_-;_-* &quot;-&quot;?_-;_-@_-"/>
    <numFmt numFmtId="171" formatCode="_-* #,##0.000_-;\-* #,##0.000_-;_-* &quot;-&quot;??_-;_-@_-"/>
    <numFmt numFmtId="172" formatCode="_-* #,##0.00_-;\-* #,##0.00_-;_-* &quot;-&quot;?_-;_-@_-"/>
    <numFmt numFmtId="173" formatCode="0.0000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theme="0"/>
      <name val="Arial"/>
      <family val="2"/>
    </font>
    <font>
      <u/>
      <sz val="10"/>
      <name val="Arial"/>
      <family val="2"/>
    </font>
    <font>
      <sz val="9"/>
      <color rgb="FF000000"/>
      <name val="Times New Roman"/>
      <family val="1"/>
    </font>
    <font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69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0" fillId="0" borderId="11" xfId="3" applyFont="1" applyBorder="1" applyAlignment="1">
      <alignment vertical="center"/>
    </xf>
    <xf numFmtId="166" fontId="3" fillId="0" borderId="12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6" fontId="0" fillId="0" borderId="9" xfId="3" applyFont="1" applyBorder="1" applyAlignment="1">
      <alignment vertical="center"/>
    </xf>
    <xf numFmtId="166" fontId="3" fillId="0" borderId="13" xfId="3" applyFont="1" applyBorder="1" applyAlignment="1">
      <alignment horizontal="right" vertical="center"/>
    </xf>
    <xf numFmtId="166" fontId="0" fillId="0" borderId="14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6" fontId="13" fillId="2" borderId="17" xfId="3" applyFont="1" applyFill="1" applyBorder="1" applyAlignment="1">
      <alignment horizontal="center" vertical="center"/>
    </xf>
    <xf numFmtId="166" fontId="13" fillId="2" borderId="18" xfId="3" applyFont="1" applyFill="1" applyBorder="1" applyAlignment="1">
      <alignment horizontal="center" vertical="center"/>
    </xf>
    <xf numFmtId="166" fontId="3" fillId="0" borderId="19" xfId="3" applyFont="1" applyBorder="1" applyAlignment="1">
      <alignment horizontal="center" vertical="center"/>
    </xf>
    <xf numFmtId="166" fontId="1" fillId="0" borderId="14" xfId="3" applyFont="1" applyBorder="1" applyAlignment="1">
      <alignment horizontal="left" vertical="center"/>
    </xf>
    <xf numFmtId="166" fontId="6" fillId="0" borderId="9" xfId="3" applyFont="1" applyBorder="1" applyAlignment="1">
      <alignment vertical="center"/>
    </xf>
    <xf numFmtId="166" fontId="6" fillId="0" borderId="14" xfId="3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6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6" fontId="6" fillId="0" borderId="19" xfId="3" applyFont="1" applyBorder="1" applyAlignment="1">
      <alignment vertical="center"/>
    </xf>
    <xf numFmtId="166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167" fontId="6" fillId="0" borderId="1" xfId="3" applyNumberFormat="1" applyFont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6" fontId="13" fillId="2" borderId="33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165" fontId="3" fillId="0" borderId="34" xfId="0" applyNumberFormat="1" applyFont="1" applyBorder="1" applyAlignment="1">
      <alignment vertical="center"/>
    </xf>
    <xf numFmtId="166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4" xfId="3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6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166" fontId="6" fillId="0" borderId="40" xfId="3" applyFont="1" applyBorder="1" applyAlignment="1">
      <alignment vertical="center"/>
    </xf>
    <xf numFmtId="166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66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0" borderId="23" xfId="0" applyFont="1" applyBorder="1"/>
    <xf numFmtId="0" fontId="18" fillId="0" borderId="51" xfId="0" applyFont="1" applyBorder="1"/>
    <xf numFmtId="0" fontId="18" fillId="0" borderId="48" xfId="0" applyFont="1" applyBorder="1"/>
    <xf numFmtId="0" fontId="18" fillId="0" borderId="52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5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5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4" borderId="23" xfId="0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left" vertical="center"/>
    </xf>
    <xf numFmtId="10" fontId="23" fillId="4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7" borderId="24" xfId="0" applyFont="1" applyFill="1" applyBorder="1" applyAlignment="1">
      <alignment horizontal="left" vertical="center"/>
    </xf>
    <xf numFmtId="0" fontId="23" fillId="7" borderId="36" xfId="0" applyFont="1" applyFill="1" applyBorder="1" applyAlignment="1">
      <alignment horizontal="left" vertical="center"/>
    </xf>
    <xf numFmtId="10" fontId="23" fillId="7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3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3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0" borderId="47" xfId="0" applyFont="1" applyBorder="1"/>
    <xf numFmtId="0" fontId="5" fillId="0" borderId="49" xfId="0" applyFont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9" fontId="7" fillId="0" borderId="48" xfId="0" applyNumberFormat="1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1" xfId="0" applyFont="1" applyBorder="1" applyAlignment="1">
      <alignment horizont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/>
    </xf>
    <xf numFmtId="10" fontId="7" fillId="4" borderId="7" xfId="0" applyNumberFormat="1" applyFont="1" applyFill="1" applyBorder="1" applyAlignment="1">
      <alignment horizontal="center" vertical="center" wrapText="1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4" xfId="0" applyFont="1" applyBorder="1"/>
    <xf numFmtId="0" fontId="20" fillId="0" borderId="54" xfId="0" applyFont="1" applyBorder="1" applyAlignment="1">
      <alignment horizontal="justify"/>
    </xf>
    <xf numFmtId="0" fontId="20" fillId="0" borderId="55" xfId="0" applyFont="1" applyBorder="1" applyAlignment="1">
      <alignment horizontal="justify"/>
    </xf>
    <xf numFmtId="0" fontId="17" fillId="8" borderId="53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/>
    <xf numFmtId="0" fontId="5" fillId="0" borderId="23" xfId="0" applyFont="1" applyFill="1" applyBorder="1"/>
    <xf numFmtId="0" fontId="5" fillId="0" borderId="24" xfId="0" applyFont="1" applyFill="1" applyBorder="1"/>
    <xf numFmtId="0" fontId="5" fillId="0" borderId="36" xfId="0" applyFont="1" applyBorder="1"/>
    <xf numFmtId="170" fontId="5" fillId="0" borderId="37" xfId="0" applyNumberFormat="1" applyFont="1" applyBorder="1"/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6" fontId="6" fillId="0" borderId="10" xfId="3" applyFont="1" applyBorder="1" applyAlignment="1">
      <alignment vertical="center"/>
    </xf>
    <xf numFmtId="166" fontId="3" fillId="0" borderId="7" xfId="3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6" xfId="0" applyNumberFormat="1" applyFont="1" applyBorder="1" applyAlignment="1">
      <alignment vertical="center"/>
    </xf>
    <xf numFmtId="166" fontId="3" fillId="0" borderId="11" xfId="3" applyFont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17" fillId="0" borderId="44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0" fontId="6" fillId="0" borderId="0" xfId="0" applyFont="1" applyFill="1"/>
    <xf numFmtId="0" fontId="23" fillId="0" borderId="23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6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73" fontId="18" fillId="0" borderId="48" xfId="0" applyNumberFormat="1" applyFont="1" applyBorder="1"/>
    <xf numFmtId="173" fontId="7" fillId="0" borderId="48" xfId="0" applyNumberFormat="1" applyFont="1" applyBorder="1"/>
    <xf numFmtId="173" fontId="7" fillId="0" borderId="31" xfId="0" applyNumberFormat="1" applyFont="1" applyBorder="1"/>
    <xf numFmtId="166" fontId="1" fillId="0" borderId="0" xfId="3" applyFont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7" fontId="6" fillId="0" borderId="1" xfId="3" applyNumberFormat="1" applyFont="1" applyFill="1" applyBorder="1" applyAlignment="1">
      <alignment horizontal="center" vertical="center"/>
    </xf>
    <xf numFmtId="1" fontId="6" fillId="0" borderId="4" xfId="3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7" fontId="1" fillId="0" borderId="4" xfId="3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30" fillId="0" borderId="0" xfId="3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6" fontId="1" fillId="0" borderId="4" xfId="3" applyFont="1" applyBorder="1" applyAlignment="1">
      <alignment horizontal="center" vertical="center"/>
    </xf>
    <xf numFmtId="9" fontId="3" fillId="0" borderId="4" xfId="2" applyFont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9" fontId="3" fillId="0" borderId="5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1" fillId="0" borderId="1" xfId="3" applyFont="1" applyBorder="1" applyAlignment="1">
      <alignment horizontal="center" vertical="center"/>
    </xf>
    <xf numFmtId="166" fontId="1" fillId="0" borderId="2" xfId="3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horizontal="center" vertical="center"/>
    </xf>
    <xf numFmtId="13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vertical="center"/>
    </xf>
    <xf numFmtId="166" fontId="3" fillId="0" borderId="0" xfId="3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8" fontId="6" fillId="0" borderId="1" xfId="3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3" fontId="1" fillId="0" borderId="1" xfId="0" applyNumberFormat="1" applyFont="1" applyFill="1" applyBorder="1" applyAlignment="1">
      <alignment horizontal="center" vertical="center"/>
    </xf>
    <xf numFmtId="13" fontId="6" fillId="0" borderId="1" xfId="0" applyNumberFormat="1" applyFont="1" applyFill="1" applyBorder="1" applyAlignment="1">
      <alignment horizontal="center" vertical="center"/>
    </xf>
    <xf numFmtId="166" fontId="12" fillId="0" borderId="1" xfId="3" applyFont="1" applyFill="1" applyBorder="1" applyAlignment="1">
      <alignment horizontal="center" vertical="center"/>
    </xf>
    <xf numFmtId="166" fontId="6" fillId="0" borderId="9" xfId="3" applyNumberFormat="1" applyFont="1" applyFill="1" applyBorder="1" applyAlignment="1">
      <alignment vertical="center"/>
    </xf>
    <xf numFmtId="0" fontId="31" fillId="0" borderId="0" xfId="1" applyFont="1" applyAlignment="1" applyProtection="1">
      <alignment vertical="center"/>
    </xf>
    <xf numFmtId="0" fontId="18" fillId="0" borderId="20" xfId="0" applyFont="1" applyFill="1" applyBorder="1"/>
    <xf numFmtId="0" fontId="5" fillId="0" borderId="20" xfId="0" applyFont="1" applyFill="1" applyBorder="1"/>
    <xf numFmtId="0" fontId="5" fillId="0" borderId="48" xfId="0" applyFont="1" applyFill="1" applyBorder="1"/>
    <xf numFmtId="0" fontId="5" fillId="0" borderId="15" xfId="0" applyFont="1" applyFill="1" applyBorder="1"/>
    <xf numFmtId="0" fontId="5" fillId="0" borderId="50" xfId="0" applyFont="1" applyFill="1" applyBorder="1"/>
    <xf numFmtId="10" fontId="5" fillId="0" borderId="12" xfId="0" applyNumberFormat="1" applyFont="1" applyFill="1" applyBorder="1" applyAlignment="1">
      <alignment horizontal="center" vertical="center"/>
    </xf>
    <xf numFmtId="10" fontId="5" fillId="0" borderId="23" xfId="2" applyNumberFormat="1" applyFont="1" applyFill="1" applyBorder="1" applyAlignment="1">
      <alignment horizontal="right"/>
    </xf>
    <xf numFmtId="10" fontId="5" fillId="0" borderId="1" xfId="2" applyNumberFormat="1" applyFont="1" applyFill="1" applyBorder="1" applyAlignment="1">
      <alignment horizontal="right"/>
    </xf>
    <xf numFmtId="10" fontId="5" fillId="0" borderId="23" xfId="2" applyNumberFormat="1" applyFont="1" applyFill="1" applyBorder="1"/>
    <xf numFmtId="10" fontId="5" fillId="0" borderId="1" xfId="2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1" fontId="24" fillId="0" borderId="20" xfId="3" applyNumberFormat="1" applyFont="1" applyFill="1" applyBorder="1" applyAlignment="1">
      <alignment horizontal="center" vertical="center" wrapText="1"/>
    </xf>
    <xf numFmtId="172" fontId="5" fillId="0" borderId="20" xfId="0" applyNumberFormat="1" applyFont="1" applyFill="1" applyBorder="1"/>
    <xf numFmtId="2" fontId="5" fillId="0" borderId="20" xfId="0" applyNumberFormat="1" applyFont="1" applyFill="1" applyBorder="1"/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0" fontId="5" fillId="0" borderId="7" xfId="0" applyNumberFormat="1" applyFont="1" applyFill="1" applyBorder="1" applyAlignment="1">
      <alignment vertical="center"/>
    </xf>
    <xf numFmtId="0" fontId="5" fillId="0" borderId="10" xfId="0" applyFont="1" applyFill="1" applyBorder="1"/>
    <xf numFmtId="0" fontId="5" fillId="0" borderId="47" xfId="0" applyFont="1" applyFill="1" applyBorder="1" applyAlignment="1">
      <alignment horizontal="left" vertical="center"/>
    </xf>
    <xf numFmtId="10" fontId="5" fillId="0" borderId="4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3" fillId="2" borderId="7" xfId="3" applyFont="1" applyFill="1" applyBorder="1" applyAlignment="1">
      <alignment vertical="center"/>
    </xf>
    <xf numFmtId="166" fontId="6" fillId="0" borderId="1" xfId="3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166" fontId="3" fillId="0" borderId="9" xfId="3" applyFont="1" applyBorder="1" applyAlignment="1">
      <alignment horizontal="left" vertical="center"/>
    </xf>
    <xf numFmtId="166" fontId="1" fillId="0" borderId="5" xfId="3" applyFont="1" applyBorder="1" applyAlignment="1">
      <alignment horizontal="center" vertical="center"/>
    </xf>
    <xf numFmtId="166" fontId="6" fillId="0" borderId="7" xfId="3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/>
    </xf>
    <xf numFmtId="0" fontId="7" fillId="6" borderId="42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3" xfId="3" applyFont="1" applyBorder="1" applyAlignment="1">
      <alignment horizontal="center" vertical="center"/>
    </xf>
    <xf numFmtId="166" fontId="4" fillId="6" borderId="5" xfId="3" applyFont="1" applyFill="1" applyBorder="1" applyAlignment="1">
      <alignment horizontal="center" vertical="center"/>
    </xf>
    <xf numFmtId="166" fontId="4" fillId="6" borderId="6" xfId="3" applyFont="1" applyFill="1" applyBorder="1" applyAlignment="1">
      <alignment horizontal="center" vertical="center"/>
    </xf>
    <xf numFmtId="166" fontId="4" fillId="6" borderId="7" xfId="3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/>
    </xf>
    <xf numFmtId="0" fontId="17" fillId="8" borderId="46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2"/>
  <sheetViews>
    <sheetView tabSelected="1" view="pageBreakPreview" topLeftCell="A270" zoomScaleNormal="100" zoomScaleSheetLayoutView="100" workbookViewId="0">
      <selection activeCell="A268" sqref="A268:F268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x14ac:dyDescent="0.2">
      <c r="A1" s="11"/>
    </row>
    <row r="2" spans="1:7" x14ac:dyDescent="0.2">
      <c r="A2" s="120"/>
    </row>
    <row r="3" spans="1:7" s="4" customFormat="1" ht="15.6" customHeight="1" x14ac:dyDescent="0.2">
      <c r="A3" s="9"/>
      <c r="C3" s="119"/>
      <c r="D3" s="119"/>
      <c r="E3" s="119"/>
      <c r="F3" s="119"/>
      <c r="G3" s="6"/>
    </row>
    <row r="4" spans="1:7" s="4" customFormat="1" ht="15.6" customHeight="1" x14ac:dyDescent="0.2">
      <c r="A4" s="120"/>
      <c r="B4" s="322" t="s">
        <v>300</v>
      </c>
      <c r="C4" s="119"/>
      <c r="D4" s="119"/>
      <c r="E4" s="119"/>
      <c r="F4" s="119"/>
      <c r="G4" s="6"/>
    </row>
    <row r="5" spans="1:7" s="4" customFormat="1" ht="15.6" customHeight="1" x14ac:dyDescent="0.2">
      <c r="A5" s="118"/>
      <c r="B5" s="119"/>
      <c r="C5" s="119"/>
      <c r="D5" s="119"/>
      <c r="E5" s="119"/>
      <c r="F5" s="119"/>
      <c r="G5" s="6"/>
    </row>
    <row r="6" spans="1:7" s="4" customFormat="1" ht="15.6" customHeight="1" x14ac:dyDescent="0.2">
      <c r="A6" s="118"/>
      <c r="B6" s="119"/>
      <c r="C6" s="119"/>
      <c r="D6" s="119"/>
      <c r="E6" s="119"/>
      <c r="F6" s="119"/>
      <c r="G6" s="6"/>
    </row>
    <row r="7" spans="1:7" s="4" customFormat="1" ht="16.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39" t="s">
        <v>227</v>
      </c>
      <c r="B8" s="340"/>
      <c r="C8" s="340"/>
      <c r="D8" s="340"/>
      <c r="E8" s="340"/>
      <c r="F8" s="341"/>
      <c r="G8" s="36"/>
    </row>
    <row r="9" spans="1:7" s="8" customFormat="1" ht="21.75" customHeight="1" x14ac:dyDescent="0.2">
      <c r="A9" s="342" t="s">
        <v>39</v>
      </c>
      <c r="B9" s="343"/>
      <c r="C9" s="343"/>
      <c r="D9" s="343"/>
      <c r="E9" s="343"/>
      <c r="F9" s="344"/>
      <c r="G9" s="36"/>
    </row>
    <row r="10" spans="1:7" s="4" customFormat="1" ht="10.9" customHeight="1" thickBot="1" x14ac:dyDescent="0.25">
      <c r="A10" s="129"/>
      <c r="B10" s="130"/>
      <c r="C10" s="130"/>
      <c r="D10" s="131"/>
      <c r="E10" s="131"/>
      <c r="F10" s="132"/>
      <c r="G10" s="6"/>
    </row>
    <row r="11" spans="1:7" s="4" customFormat="1" ht="15.75" customHeight="1" thickBot="1" x14ac:dyDescent="0.25">
      <c r="A11" s="348" t="s">
        <v>198</v>
      </c>
      <c r="B11" s="349"/>
      <c r="C11" s="349"/>
      <c r="D11" s="349"/>
      <c r="E11" s="349"/>
      <c r="F11" s="350"/>
      <c r="G11" s="6"/>
    </row>
    <row r="12" spans="1:7" s="4" customFormat="1" ht="15.75" customHeight="1" x14ac:dyDescent="0.2">
      <c r="A12" s="62" t="s">
        <v>197</v>
      </c>
      <c r="B12" s="38"/>
      <c r="C12" s="38"/>
      <c r="D12" s="229"/>
      <c r="E12" s="97" t="s">
        <v>34</v>
      </c>
      <c r="F12" s="39" t="s">
        <v>1</v>
      </c>
      <c r="G12" s="6"/>
    </row>
    <row r="13" spans="1:7" s="11" customFormat="1" ht="15.75" customHeight="1" x14ac:dyDescent="0.2">
      <c r="A13" s="106" t="str">
        <f>+A46</f>
        <v>1. Mão-de-obra</v>
      </c>
      <c r="B13" s="107"/>
      <c r="C13" s="108"/>
      <c r="D13" s="108"/>
      <c r="E13" s="226">
        <f>+F92</f>
        <v>9074.8624144000005</v>
      </c>
      <c r="F13" s="109">
        <f t="shared" ref="F13:F29" si="0">IFERROR(E13/$E$30,0)</f>
        <v>0.26703261467314221</v>
      </c>
      <c r="G13" s="42"/>
    </row>
    <row r="14" spans="1:7" s="4" customFormat="1" ht="15.75" customHeight="1" x14ac:dyDescent="0.2">
      <c r="A14" s="47" t="str">
        <f>A48</f>
        <v>1.1. Coletor Turno Dia</v>
      </c>
      <c r="B14" s="43"/>
      <c r="C14" s="45"/>
      <c r="D14" s="45"/>
      <c r="E14" s="227">
        <f>F61</f>
        <v>4788.4010944000001</v>
      </c>
      <c r="F14" s="56">
        <f t="shared" si="0"/>
        <v>0.14090122868555999</v>
      </c>
      <c r="G14" s="6"/>
    </row>
    <row r="15" spans="1:7" s="4" customFormat="1" ht="15.75" customHeight="1" x14ac:dyDescent="0.2">
      <c r="A15" s="47" t="str">
        <f>A63</f>
        <v>1.2. Motorista Turno do Dia</v>
      </c>
      <c r="B15" s="43"/>
      <c r="C15" s="45"/>
      <c r="D15" s="45"/>
      <c r="E15" s="227">
        <f>F76</f>
        <v>3214.4613199999999</v>
      </c>
      <c r="F15" s="56">
        <f t="shared" si="0"/>
        <v>9.4587220372974901E-2</v>
      </c>
      <c r="G15" s="6"/>
    </row>
    <row r="16" spans="1:7" s="4" customFormat="1" ht="15.75" customHeight="1" x14ac:dyDescent="0.2">
      <c r="A16" s="47" t="str">
        <f>A78</f>
        <v>1.3. Vale-refeição (diário)</v>
      </c>
      <c r="B16" s="43"/>
      <c r="C16" s="45"/>
      <c r="D16" s="45"/>
      <c r="E16" s="227">
        <f>F84</f>
        <v>664</v>
      </c>
      <c r="F16" s="56">
        <f t="shared" si="0"/>
        <v>1.9538550343376145E-2</v>
      </c>
      <c r="G16" s="6"/>
    </row>
    <row r="17" spans="1:7" s="4" customFormat="1" ht="15.75" customHeight="1" x14ac:dyDescent="0.2">
      <c r="A17" s="47" t="str">
        <f>A86</f>
        <v>1.4. Auxílio Alimentação (mensal)</v>
      </c>
      <c r="B17" s="43"/>
      <c r="C17" s="45"/>
      <c r="D17" s="45"/>
      <c r="E17" s="227">
        <f>F90</f>
        <v>408</v>
      </c>
      <c r="F17" s="56">
        <f t="shared" si="0"/>
        <v>1.2005615271231127E-2</v>
      </c>
      <c r="G17" s="6"/>
    </row>
    <row r="18" spans="1:7" s="11" customFormat="1" ht="15.75" customHeight="1" x14ac:dyDescent="0.2">
      <c r="A18" s="329" t="str">
        <f>+A94</f>
        <v>2. Uniformes e Equipamentos de Proteção Individual</v>
      </c>
      <c r="B18" s="330"/>
      <c r="C18" s="330"/>
      <c r="D18" s="108"/>
      <c r="E18" s="226">
        <f>+F126</f>
        <v>456.18333333333339</v>
      </c>
      <c r="F18" s="109">
        <f t="shared" si="0"/>
        <v>1.3423435277323006E-2</v>
      </c>
      <c r="G18" s="42"/>
    </row>
    <row r="19" spans="1:7" s="11" customFormat="1" ht="15.75" customHeight="1" x14ac:dyDescent="0.2">
      <c r="A19" s="116" t="str">
        <f>+A128</f>
        <v>3. Veículos e Equipamentos</v>
      </c>
      <c r="B19" s="117"/>
      <c r="C19" s="108"/>
      <c r="D19" s="108"/>
      <c r="E19" s="226">
        <f>+F210</f>
        <v>16720.384233333334</v>
      </c>
      <c r="F19" s="109">
        <f t="shared" si="0"/>
        <v>0.49200612816803629</v>
      </c>
      <c r="G19" s="42"/>
    </row>
    <row r="20" spans="1:7" s="4" customFormat="1" ht="15.75" customHeight="1" x14ac:dyDescent="0.2">
      <c r="A20" s="63" t="str">
        <f>A130</f>
        <v>3.1. Veículo Coletor Compactador 10 m³</v>
      </c>
      <c r="B20" s="44"/>
      <c r="C20" s="45"/>
      <c r="D20" s="45"/>
      <c r="E20" s="227">
        <f>SUM(E21:E26)</f>
        <v>13120.384233333334</v>
      </c>
      <c r="F20" s="122">
        <f t="shared" si="0"/>
        <v>0.38607422871599695</v>
      </c>
      <c r="G20" s="6"/>
    </row>
    <row r="21" spans="1:7" s="4" customFormat="1" ht="15.75" customHeight="1" x14ac:dyDescent="0.2">
      <c r="A21" s="63" t="str">
        <f>A132</f>
        <v>3.1.1. Depreciação</v>
      </c>
      <c r="B21" s="44"/>
      <c r="C21" s="45"/>
      <c r="D21" s="45"/>
      <c r="E21" s="227">
        <f>F146</f>
        <v>2749.8291666666673</v>
      </c>
      <c r="F21" s="122">
        <f t="shared" si="0"/>
        <v>8.0915174109338489E-2</v>
      </c>
      <c r="G21" s="6"/>
    </row>
    <row r="22" spans="1:7" s="4" customFormat="1" ht="15.75" customHeight="1" x14ac:dyDescent="0.2">
      <c r="A22" s="63" t="str">
        <f>A148</f>
        <v>3.1.2. Remuneração do Capital</v>
      </c>
      <c r="B22" s="44"/>
      <c r="C22" s="45"/>
      <c r="D22" s="45"/>
      <c r="E22" s="227">
        <f>F162</f>
        <v>1294.6055416666666</v>
      </c>
      <c r="F22" s="122">
        <f t="shared" si="0"/>
        <v>3.8094451130523961E-2</v>
      </c>
      <c r="G22" s="6"/>
    </row>
    <row r="23" spans="1:7" s="4" customFormat="1" ht="15.75" customHeight="1" x14ac:dyDescent="0.2">
      <c r="A23" s="63" t="str">
        <f>A164</f>
        <v>3.1.3. Impostos e Seguros</v>
      </c>
      <c r="B23" s="44"/>
      <c r="C23" s="45"/>
      <c r="D23" s="45"/>
      <c r="E23" s="227">
        <f>F170</f>
        <v>404.15500000000003</v>
      </c>
      <c r="F23" s="122">
        <f t="shared" si="0"/>
        <v>1.1892474117510824E-2</v>
      </c>
      <c r="G23" s="6"/>
    </row>
    <row r="24" spans="1:7" s="4" customFormat="1" ht="15.75" customHeight="1" x14ac:dyDescent="0.2">
      <c r="A24" s="63" t="str">
        <f>A172</f>
        <v>3.1.4. Consumos</v>
      </c>
      <c r="B24" s="44"/>
      <c r="C24" s="45"/>
      <c r="D24" s="45"/>
      <c r="E24" s="227">
        <f>F188</f>
        <v>5952.7865249999995</v>
      </c>
      <c r="F24" s="122">
        <f t="shared" si="0"/>
        <v>0.17516388434048741</v>
      </c>
      <c r="G24" s="6"/>
    </row>
    <row r="25" spans="1:7" s="4" customFormat="1" ht="15.75" customHeight="1" x14ac:dyDescent="0.2">
      <c r="A25" s="63" t="str">
        <f>A190</f>
        <v>3.1.5. Manutenção</v>
      </c>
      <c r="B25" s="44"/>
      <c r="C25" s="45"/>
      <c r="D25" s="45"/>
      <c r="E25" s="227">
        <f>F193</f>
        <v>1888.1999999999998</v>
      </c>
      <c r="F25" s="122">
        <f t="shared" si="0"/>
        <v>5.5561281262594631E-2</v>
      </c>
      <c r="G25" s="6"/>
    </row>
    <row r="26" spans="1:7" s="4" customFormat="1" ht="15.75" customHeight="1" x14ac:dyDescent="0.2">
      <c r="A26" s="63" t="str">
        <f>A200</f>
        <v>3.1.7. Pneus</v>
      </c>
      <c r="B26" s="44"/>
      <c r="C26" s="45"/>
      <c r="D26" s="45"/>
      <c r="E26" s="227">
        <f>F207</f>
        <v>830.80799999999999</v>
      </c>
      <c r="F26" s="122">
        <f t="shared" si="0"/>
        <v>2.4446963755541642E-2</v>
      </c>
      <c r="G26" s="6"/>
    </row>
    <row r="27" spans="1:7" s="11" customFormat="1" ht="15.75" customHeight="1" x14ac:dyDescent="0.2">
      <c r="A27" s="116" t="str">
        <f>+A212</f>
        <v>4. Ferramentas e Materiais de Consumo</v>
      </c>
      <c r="B27" s="117"/>
      <c r="C27" s="108"/>
      <c r="D27" s="108"/>
      <c r="E27" s="226">
        <f>+F222</f>
        <v>37.083333333333329</v>
      </c>
      <c r="F27" s="109">
        <f t="shared" si="0"/>
        <v>1.0911966494480904E-3</v>
      </c>
      <c r="G27" s="42"/>
    </row>
    <row r="28" spans="1:7" s="11" customFormat="1" ht="15.75" customHeight="1" x14ac:dyDescent="0.2">
      <c r="A28" s="116" t="str">
        <f>+A224</f>
        <v>5. Monitoramento da Frota</v>
      </c>
      <c r="B28" s="117"/>
      <c r="C28" s="108"/>
      <c r="D28" s="108"/>
      <c r="E28" s="226">
        <f>+F233</f>
        <v>59.833333333333336</v>
      </c>
      <c r="F28" s="109">
        <f t="shared" si="0"/>
        <v>1.7606274029297281E-3</v>
      </c>
      <c r="G28" s="42"/>
    </row>
    <row r="29" spans="1:7" s="11" customFormat="1" ht="15.75" customHeight="1" thickBot="1" x14ac:dyDescent="0.25">
      <c r="A29" s="116" t="str">
        <f>+A237</f>
        <v>6. Benefícios e Despesas Indiretas - BDI</v>
      </c>
      <c r="B29" s="117"/>
      <c r="C29" s="108"/>
      <c r="D29" s="108"/>
      <c r="E29" s="228">
        <f>+F243</f>
        <v>7635.7508585131191</v>
      </c>
      <c r="F29" s="109">
        <f t="shared" si="0"/>
        <v>0.2246859978291208</v>
      </c>
      <c r="G29" s="42"/>
    </row>
    <row r="30" spans="1:7" s="4" customFormat="1" ht="15.75" customHeight="1" thickBot="1" x14ac:dyDescent="0.25">
      <c r="A30" s="40" t="s">
        <v>249</v>
      </c>
      <c r="B30" s="41"/>
      <c r="C30" s="26"/>
      <c r="D30" s="26"/>
      <c r="E30" s="96">
        <f>E13+E18+E19+E27+E28+E29</f>
        <v>33984.097506246449</v>
      </c>
      <c r="F30" s="121">
        <f>F13+F18+F19+F27+F28+F29</f>
        <v>1</v>
      </c>
      <c r="G30" s="6"/>
    </row>
    <row r="32" spans="1:7" ht="13.5" thickBot="1" x14ac:dyDescent="0.25"/>
    <row r="33" spans="1:7" s="4" customFormat="1" ht="15" customHeight="1" thickBot="1" x14ac:dyDescent="0.25">
      <c r="A33" s="348" t="s">
        <v>91</v>
      </c>
      <c r="B33" s="349"/>
      <c r="C33" s="349"/>
      <c r="D33" s="349"/>
      <c r="E33" s="350"/>
      <c r="F33" s="10"/>
      <c r="G33" s="6"/>
    </row>
    <row r="34" spans="1:7" s="4" customFormat="1" ht="15" customHeight="1" thickBot="1" x14ac:dyDescent="0.25">
      <c r="A34" s="345" t="s">
        <v>35</v>
      </c>
      <c r="B34" s="346"/>
      <c r="C34" s="346"/>
      <c r="D34" s="347"/>
      <c r="E34" s="46" t="s">
        <v>36</v>
      </c>
      <c r="F34" s="10"/>
      <c r="G34" s="6"/>
    </row>
    <row r="35" spans="1:7" s="4" customFormat="1" ht="15" customHeight="1" x14ac:dyDescent="0.2">
      <c r="A35" s="70" t="str">
        <f>+A48</f>
        <v>1.1. Coletor Turno Dia</v>
      </c>
      <c r="B35" s="71"/>
      <c r="C35" s="71"/>
      <c r="D35" s="72"/>
      <c r="E35" s="73">
        <f>C60</f>
        <v>2</v>
      </c>
      <c r="F35" s="10"/>
      <c r="G35" s="6"/>
    </row>
    <row r="36" spans="1:7" s="4" customFormat="1" ht="15" customHeight="1" x14ac:dyDescent="0.2">
      <c r="A36" s="65" t="str">
        <f>+A63</f>
        <v>1.2. Motorista Turno do Dia</v>
      </c>
      <c r="B36" s="64"/>
      <c r="C36" s="64"/>
      <c r="D36" s="74"/>
      <c r="E36" s="67">
        <f>C75</f>
        <v>1</v>
      </c>
      <c r="F36" s="10"/>
      <c r="G36" s="6"/>
    </row>
    <row r="37" spans="1:7" s="4" customFormat="1" ht="15" customHeight="1" thickBot="1" x14ac:dyDescent="0.25">
      <c r="A37" s="68" t="s">
        <v>55</v>
      </c>
      <c r="B37" s="69"/>
      <c r="C37" s="69"/>
      <c r="D37" s="75"/>
      <c r="E37" s="76">
        <f>SUM(E35:E36)</f>
        <v>3</v>
      </c>
      <c r="F37" s="10"/>
      <c r="G37" s="6"/>
    </row>
    <row r="38" spans="1:7" s="4" customFormat="1" ht="15" customHeight="1" thickBot="1" x14ac:dyDescent="0.25">
      <c r="A38" s="110"/>
      <c r="B38" s="111"/>
      <c r="C38" s="57"/>
      <c r="D38" s="57"/>
      <c r="E38" s="112"/>
      <c r="F38" s="10"/>
      <c r="G38" s="6"/>
    </row>
    <row r="39" spans="1:7" s="4" customFormat="1" ht="15" customHeight="1" thickBot="1" x14ac:dyDescent="0.25">
      <c r="A39" s="327" t="s">
        <v>52</v>
      </c>
      <c r="B39" s="328"/>
      <c r="C39" s="328"/>
      <c r="D39" s="328"/>
      <c r="E39" s="46" t="s">
        <v>36</v>
      </c>
      <c r="F39" s="9"/>
      <c r="G39" s="6"/>
    </row>
    <row r="40" spans="1:7" s="4" customFormat="1" ht="15" customHeight="1" thickBot="1" x14ac:dyDescent="0.25">
      <c r="A40" s="113" t="str">
        <f>+A130</f>
        <v>3.1. Veículo Coletor Compactador 10 m³</v>
      </c>
      <c r="B40" s="114"/>
      <c r="C40" s="114"/>
      <c r="D40" s="115"/>
      <c r="E40" s="259">
        <f>C145</f>
        <v>1</v>
      </c>
      <c r="F40" s="9"/>
      <c r="G40" s="6"/>
    </row>
    <row r="41" spans="1:7" s="4" customFormat="1" ht="15" customHeight="1" thickBot="1" x14ac:dyDescent="0.25">
      <c r="A41" s="57"/>
      <c r="B41" s="57"/>
      <c r="C41" s="57"/>
      <c r="D41" s="260"/>
      <c r="E41" s="264"/>
      <c r="F41" s="260"/>
      <c r="G41" s="6"/>
    </row>
    <row r="42" spans="1:7" s="4" customFormat="1" ht="15" customHeight="1" thickBot="1" x14ac:dyDescent="0.25">
      <c r="A42" s="57"/>
      <c r="B42" s="331" t="s">
        <v>271</v>
      </c>
      <c r="C42" s="332"/>
      <c r="D42" s="325" t="s">
        <v>268</v>
      </c>
      <c r="E42" s="326"/>
      <c r="F42" s="52"/>
      <c r="G42" s="6"/>
    </row>
    <row r="43" spans="1:7" s="4" customFormat="1" ht="13.5" thickBot="1" x14ac:dyDescent="0.25">
      <c r="A43" s="57"/>
      <c r="B43" s="266" t="s">
        <v>266</v>
      </c>
      <c r="C43" s="266" t="s">
        <v>272</v>
      </c>
      <c r="D43" s="256" t="s">
        <v>266</v>
      </c>
      <c r="E43" s="262" t="s">
        <v>267</v>
      </c>
      <c r="F43" s="261"/>
      <c r="G43" s="6"/>
    </row>
    <row r="44" spans="1:7" s="11" customFormat="1" ht="15.75" customHeight="1" thickBot="1" x14ac:dyDescent="0.25">
      <c r="A44" s="35"/>
      <c r="B44" s="268">
        <v>0.6</v>
      </c>
      <c r="C44" s="267">
        <v>0.2</v>
      </c>
      <c r="D44" s="269">
        <v>0.6</v>
      </c>
      <c r="E44" s="267">
        <v>0.2</v>
      </c>
      <c r="F44" s="257"/>
      <c r="G44" s="42"/>
    </row>
    <row r="45" spans="1:7" s="4" customFormat="1" ht="15.75" customHeight="1" thickBot="1" x14ac:dyDescent="0.25">
      <c r="A45" s="57"/>
      <c r="B45" s="266" t="s">
        <v>299</v>
      </c>
      <c r="C45" s="266" t="s">
        <v>302</v>
      </c>
      <c r="D45" s="263" t="s">
        <v>299</v>
      </c>
      <c r="E45" s="262" t="s">
        <v>302</v>
      </c>
      <c r="F45" s="52"/>
      <c r="G45" s="6"/>
    </row>
    <row r="46" spans="1:7" ht="13.15" customHeight="1" x14ac:dyDescent="0.2">
      <c r="A46" s="11" t="s">
        <v>43</v>
      </c>
    </row>
    <row r="47" spans="1:7" ht="11.25" customHeight="1" x14ac:dyDescent="0.2"/>
    <row r="48" spans="1:7" ht="13.9" customHeight="1" thickBot="1" x14ac:dyDescent="0.25">
      <c r="A48" s="9" t="s">
        <v>92</v>
      </c>
    </row>
    <row r="49" spans="1:7" ht="13.9" customHeight="1" thickBot="1" x14ac:dyDescent="0.25">
      <c r="A49" s="58" t="s">
        <v>59</v>
      </c>
      <c r="B49" s="59" t="s">
        <v>60</v>
      </c>
      <c r="C49" s="59" t="s">
        <v>36</v>
      </c>
      <c r="D49" s="60" t="s">
        <v>245</v>
      </c>
      <c r="E49" s="60" t="s">
        <v>61</v>
      </c>
      <c r="F49" s="61" t="s">
        <v>62</v>
      </c>
    </row>
    <row r="50" spans="1:7" ht="13.15" customHeight="1" x14ac:dyDescent="0.2">
      <c r="A50" s="13" t="s">
        <v>221</v>
      </c>
      <c r="B50" s="14" t="s">
        <v>6</v>
      </c>
      <c r="C50" s="14">
        <v>1</v>
      </c>
      <c r="D50" s="88">
        <v>1221.8800000000001</v>
      </c>
      <c r="E50" s="15">
        <f>C50*D50</f>
        <v>1221.8800000000001</v>
      </c>
    </row>
    <row r="51" spans="1:7" ht="13.15" customHeight="1" x14ac:dyDescent="0.2">
      <c r="A51" s="13" t="s">
        <v>224</v>
      </c>
      <c r="B51" s="14" t="s">
        <v>6</v>
      </c>
      <c r="C51" s="14">
        <v>1</v>
      </c>
      <c r="D51" s="88">
        <v>937</v>
      </c>
      <c r="E51" s="15"/>
    </row>
    <row r="52" spans="1:7" ht="13.15" customHeight="1" x14ac:dyDescent="0.2">
      <c r="A52" s="265" t="s">
        <v>281</v>
      </c>
      <c r="B52" s="270" t="s">
        <v>277</v>
      </c>
      <c r="C52" s="273">
        <v>0</v>
      </c>
      <c r="D52" s="271">
        <v>0</v>
      </c>
      <c r="E52" s="271">
        <f>C52*D52</f>
        <v>0</v>
      </c>
    </row>
    <row r="53" spans="1:7" ht="13.15" customHeight="1" x14ac:dyDescent="0.2">
      <c r="A53" s="265" t="s">
        <v>276</v>
      </c>
      <c r="B53" s="270" t="s">
        <v>277</v>
      </c>
      <c r="C53" s="273">
        <v>0</v>
      </c>
      <c r="D53" s="271">
        <v>0</v>
      </c>
      <c r="E53" s="271">
        <f>C53*D53</f>
        <v>0</v>
      </c>
    </row>
    <row r="54" spans="1:7" ht="13.15" customHeight="1" x14ac:dyDescent="0.2">
      <c r="A54" s="265" t="s">
        <v>278</v>
      </c>
      <c r="B54" s="270" t="s">
        <v>31</v>
      </c>
      <c r="C54" s="274"/>
      <c r="D54" s="271">
        <f>63/302*(SUM(E51:E53))</f>
        <v>0</v>
      </c>
      <c r="E54" s="271">
        <f>D54</f>
        <v>0</v>
      </c>
    </row>
    <row r="55" spans="1:7" ht="13.15" customHeight="1" x14ac:dyDescent="0.2">
      <c r="A55" s="16" t="s">
        <v>222</v>
      </c>
      <c r="B55" s="17"/>
      <c r="C55" s="102">
        <v>1</v>
      </c>
      <c r="D55" s="18"/>
      <c r="E55" s="18"/>
    </row>
    <row r="56" spans="1:7" x14ac:dyDescent="0.2">
      <c r="A56" s="16" t="s">
        <v>0</v>
      </c>
      <c r="B56" s="17" t="s">
        <v>1</v>
      </c>
      <c r="C56" s="17">
        <v>40</v>
      </c>
      <c r="D56" s="80">
        <v>1221.8800000000001</v>
      </c>
      <c r="E56" s="18">
        <f>C56*D56/100</f>
        <v>488.75200000000007</v>
      </c>
    </row>
    <row r="57" spans="1:7" x14ac:dyDescent="0.2">
      <c r="A57" s="98" t="s">
        <v>2</v>
      </c>
      <c r="B57" s="99"/>
      <c r="C57" s="99"/>
      <c r="D57" s="100"/>
      <c r="E57" s="101">
        <f>SUM(E50:E56)</f>
        <v>1710.6320000000001</v>
      </c>
    </row>
    <row r="58" spans="1:7" x14ac:dyDescent="0.2">
      <c r="A58" s="16" t="s">
        <v>3</v>
      </c>
      <c r="B58" s="17" t="s">
        <v>1</v>
      </c>
      <c r="C58" s="80">
        <f>'2.Encargos Sociais'!C34*100</f>
        <v>74.95</v>
      </c>
      <c r="D58" s="18">
        <f>E57</f>
        <v>1710.6320000000001</v>
      </c>
      <c r="E58" s="18">
        <f>D58*C58/100</f>
        <v>1282.118684</v>
      </c>
    </row>
    <row r="59" spans="1:7" x14ac:dyDescent="0.2">
      <c r="A59" s="98" t="s">
        <v>69</v>
      </c>
      <c r="B59" s="99"/>
      <c r="C59" s="99"/>
      <c r="D59" s="100"/>
      <c r="E59" s="101">
        <f>E57+E58</f>
        <v>2992.7506840000001</v>
      </c>
    </row>
    <row r="60" spans="1:7" ht="13.5" thickBot="1" x14ac:dyDescent="0.25">
      <c r="A60" s="16" t="s">
        <v>4</v>
      </c>
      <c r="B60" s="17" t="s">
        <v>5</v>
      </c>
      <c r="C60" s="250">
        <v>2</v>
      </c>
      <c r="D60" s="18">
        <f>E59</f>
        <v>2992.7506840000001</v>
      </c>
      <c r="E60" s="18">
        <f>C60*D60</f>
        <v>5985.5013680000002</v>
      </c>
      <c r="G60" s="6"/>
    </row>
    <row r="61" spans="1:7" ht="13.9" customHeight="1" thickBot="1" x14ac:dyDescent="0.25">
      <c r="D61" s="104" t="s">
        <v>192</v>
      </c>
      <c r="E61" s="48">
        <v>0.8</v>
      </c>
      <c r="F61" s="105">
        <f>E60*E61</f>
        <v>4788.4010944000001</v>
      </c>
      <c r="G61" s="6"/>
    </row>
    <row r="62" spans="1:7" ht="11.25" customHeight="1" x14ac:dyDescent="0.2"/>
    <row r="63" spans="1:7" ht="13.5" thickBot="1" x14ac:dyDescent="0.25">
      <c r="A63" s="7" t="s">
        <v>273</v>
      </c>
    </row>
    <row r="64" spans="1:7" s="12" customFormat="1" ht="13.15" customHeight="1" thickBot="1" x14ac:dyDescent="0.25">
      <c r="A64" s="58" t="s">
        <v>59</v>
      </c>
      <c r="B64" s="59" t="s">
        <v>60</v>
      </c>
      <c r="C64" s="59" t="s">
        <v>36</v>
      </c>
      <c r="D64" s="60" t="s">
        <v>245</v>
      </c>
      <c r="E64" s="60" t="s">
        <v>61</v>
      </c>
      <c r="F64" s="61" t="s">
        <v>62</v>
      </c>
      <c r="G64" s="10"/>
    </row>
    <row r="65" spans="1:7" x14ac:dyDescent="0.2">
      <c r="A65" s="13" t="s">
        <v>223</v>
      </c>
      <c r="B65" s="14" t="s">
        <v>6</v>
      </c>
      <c r="C65" s="14">
        <v>1</v>
      </c>
      <c r="D65" s="272">
        <v>1640.5</v>
      </c>
      <c r="E65" s="15">
        <f>C65*D65</f>
        <v>1640.5</v>
      </c>
    </row>
    <row r="66" spans="1:7" x14ac:dyDescent="0.2">
      <c r="A66" s="13" t="s">
        <v>224</v>
      </c>
      <c r="B66" s="14" t="s">
        <v>6</v>
      </c>
      <c r="C66" s="14">
        <v>1</v>
      </c>
      <c r="D66" s="88">
        <v>937</v>
      </c>
      <c r="E66" s="15"/>
    </row>
    <row r="67" spans="1:7" x14ac:dyDescent="0.2">
      <c r="A67" s="265" t="s">
        <v>281</v>
      </c>
      <c r="B67" s="270" t="s">
        <v>277</v>
      </c>
      <c r="C67" s="273">
        <v>0</v>
      </c>
      <c r="D67" s="271">
        <v>0</v>
      </c>
      <c r="E67" s="271">
        <f>C67*D67</f>
        <v>0</v>
      </c>
    </row>
    <row r="68" spans="1:7" x14ac:dyDescent="0.2">
      <c r="A68" s="265" t="s">
        <v>276</v>
      </c>
      <c r="B68" s="270" t="s">
        <v>277</v>
      </c>
      <c r="C68" s="273">
        <v>0</v>
      </c>
      <c r="D68" s="271">
        <v>0</v>
      </c>
      <c r="E68" s="271">
        <f>C68*D68</f>
        <v>0</v>
      </c>
      <c r="F68" s="255"/>
    </row>
    <row r="69" spans="1:7" x14ac:dyDescent="0.2">
      <c r="A69" s="265" t="s">
        <v>278</v>
      </c>
      <c r="B69" s="270" t="s">
        <v>31</v>
      </c>
      <c r="C69" s="274"/>
      <c r="D69" s="271">
        <f>63/302*(SUM(E66:E68))</f>
        <v>0</v>
      </c>
      <c r="E69" s="271">
        <f>D69</f>
        <v>0</v>
      </c>
      <c r="F69" s="255"/>
    </row>
    <row r="70" spans="1:7" s="11" customFormat="1" x14ac:dyDescent="0.2">
      <c r="A70" s="16" t="s">
        <v>222</v>
      </c>
      <c r="B70" s="17"/>
      <c r="C70" s="102">
        <v>1</v>
      </c>
      <c r="D70" s="18"/>
      <c r="E70" s="18"/>
      <c r="F70" s="10"/>
      <c r="G70" s="42"/>
    </row>
    <row r="71" spans="1:7" x14ac:dyDescent="0.2">
      <c r="A71" s="16" t="s">
        <v>0</v>
      </c>
      <c r="B71" s="17" t="s">
        <v>1</v>
      </c>
      <c r="C71" s="250">
        <v>40</v>
      </c>
      <c r="D71" s="80">
        <v>1640.5</v>
      </c>
      <c r="E71" s="18">
        <f>C71*D71/100</f>
        <v>656.2</v>
      </c>
    </row>
    <row r="72" spans="1:7" s="11" customFormat="1" x14ac:dyDescent="0.2">
      <c r="A72" s="85" t="s">
        <v>2</v>
      </c>
      <c r="B72" s="99"/>
      <c r="C72" s="275"/>
      <c r="D72" s="100"/>
      <c r="E72" s="87">
        <f>SUM(E65:E71)</f>
        <v>2296.6999999999998</v>
      </c>
      <c r="F72" s="42"/>
      <c r="G72" s="42"/>
    </row>
    <row r="73" spans="1:7" x14ac:dyDescent="0.2">
      <c r="A73" s="16" t="s">
        <v>3</v>
      </c>
      <c r="B73" s="17" t="s">
        <v>1</v>
      </c>
      <c r="C73" s="80">
        <f>C58</f>
        <v>74.95</v>
      </c>
      <c r="D73" s="18">
        <f>E72</f>
        <v>2296.6999999999998</v>
      </c>
      <c r="E73" s="18">
        <f>D73*C73/100</f>
        <v>1721.3766499999997</v>
      </c>
    </row>
    <row r="74" spans="1:7" x14ac:dyDescent="0.2">
      <c r="A74" s="85" t="s">
        <v>257</v>
      </c>
      <c r="B74" s="242"/>
      <c r="C74" s="276"/>
      <c r="D74" s="243"/>
      <c r="E74" s="87">
        <f>E72+E73</f>
        <v>4018.0766499999995</v>
      </c>
      <c r="F74" s="42"/>
    </row>
    <row r="75" spans="1:7" ht="11.25" customHeight="1" thickBot="1" x14ac:dyDescent="0.25">
      <c r="A75" s="16" t="s">
        <v>4</v>
      </c>
      <c r="B75" s="17" t="s">
        <v>5</v>
      </c>
      <c r="C75" s="250">
        <v>1</v>
      </c>
      <c r="D75" s="18">
        <f>E74</f>
        <v>4018.0766499999995</v>
      </c>
      <c r="E75" s="18">
        <f>C75*D75</f>
        <v>4018.0766499999995</v>
      </c>
    </row>
    <row r="76" spans="1:7" ht="13.5" thickBot="1" x14ac:dyDescent="0.25">
      <c r="D76" s="104" t="s">
        <v>192</v>
      </c>
      <c r="E76" s="48">
        <v>0.8</v>
      </c>
      <c r="F76" s="105">
        <f>E75*E76</f>
        <v>3214.4613199999999</v>
      </c>
      <c r="G76" s="9"/>
    </row>
    <row r="77" spans="1:7" x14ac:dyDescent="0.2">
      <c r="G77" s="9"/>
    </row>
    <row r="78" spans="1:7" ht="13.5" thickBot="1" x14ac:dyDescent="0.25">
      <c r="A78" s="7" t="s">
        <v>274</v>
      </c>
      <c r="F78" s="23"/>
      <c r="G78" s="9"/>
    </row>
    <row r="79" spans="1:7" ht="13.5" thickBot="1" x14ac:dyDescent="0.25">
      <c r="A79" s="58" t="s">
        <v>59</v>
      </c>
      <c r="B79" s="59" t="s">
        <v>60</v>
      </c>
      <c r="C79" s="59" t="s">
        <v>36</v>
      </c>
      <c r="D79" s="60" t="s">
        <v>245</v>
      </c>
      <c r="E79" s="60" t="s">
        <v>61</v>
      </c>
      <c r="F79" s="61" t="s">
        <v>62</v>
      </c>
      <c r="G79" s="9"/>
    </row>
    <row r="80" spans="1:7" x14ac:dyDescent="0.2">
      <c r="A80" s="265" t="s">
        <v>269</v>
      </c>
      <c r="B80" s="17" t="s">
        <v>7</v>
      </c>
      <c r="C80" s="258">
        <v>17</v>
      </c>
      <c r="D80" s="277">
        <v>22</v>
      </c>
      <c r="E80" s="48">
        <f>C80*D80</f>
        <v>374</v>
      </c>
      <c r="F80" s="23"/>
      <c r="G80" s="9"/>
    </row>
    <row r="81" spans="1:7" x14ac:dyDescent="0.2">
      <c r="A81" s="265" t="s">
        <v>270</v>
      </c>
      <c r="B81" s="17" t="s">
        <v>7</v>
      </c>
      <c r="C81" s="258">
        <v>34</v>
      </c>
      <c r="D81" s="277">
        <v>10</v>
      </c>
      <c r="E81" s="48">
        <f>C81*D81</f>
        <v>340</v>
      </c>
      <c r="F81" s="23"/>
      <c r="G81" s="9"/>
    </row>
    <row r="82" spans="1:7" x14ac:dyDescent="0.2">
      <c r="A82" s="336" t="s">
        <v>296</v>
      </c>
      <c r="B82" s="337"/>
      <c r="C82" s="337"/>
      <c r="D82" s="338"/>
      <c r="E82" s="48">
        <v>664</v>
      </c>
      <c r="F82" s="23"/>
      <c r="G82" s="9"/>
    </row>
    <row r="83" spans="1:7" ht="13.5" thickBot="1" x14ac:dyDescent="0.25">
      <c r="A83" s="265" t="s">
        <v>297</v>
      </c>
      <c r="B83" s="270" t="s">
        <v>298</v>
      </c>
      <c r="C83" s="258">
        <v>3</v>
      </c>
      <c r="D83" s="277"/>
      <c r="E83" s="48"/>
      <c r="F83" s="23"/>
      <c r="G83" s="9"/>
    </row>
    <row r="84" spans="1:7" ht="13.5" thickBot="1" x14ac:dyDescent="0.25">
      <c r="A84" s="16"/>
      <c r="B84" s="16"/>
      <c r="C84" s="16"/>
      <c r="D84" s="321" t="s">
        <v>192</v>
      </c>
      <c r="E84" s="48">
        <v>1</v>
      </c>
      <c r="F84" s="320">
        <f>E82*E84</f>
        <v>664</v>
      </c>
      <c r="G84" s="9"/>
    </row>
    <row r="85" spans="1:7" x14ac:dyDescent="0.2">
      <c r="G85" s="9"/>
    </row>
    <row r="86" spans="1:7" ht="13.5" thickBot="1" x14ac:dyDescent="0.25">
      <c r="A86" s="7" t="s">
        <v>275</v>
      </c>
      <c r="F86" s="23"/>
      <c r="G86" s="9"/>
    </row>
    <row r="87" spans="1:7" ht="13.5" thickBot="1" x14ac:dyDescent="0.25">
      <c r="A87" s="58" t="s">
        <v>59</v>
      </c>
      <c r="B87" s="59" t="s">
        <v>60</v>
      </c>
      <c r="C87" s="59" t="s">
        <v>36</v>
      </c>
      <c r="D87" s="60" t="s">
        <v>245</v>
      </c>
      <c r="E87" s="60" t="s">
        <v>61</v>
      </c>
      <c r="F87" s="61" t="s">
        <v>62</v>
      </c>
      <c r="G87" s="9"/>
    </row>
    <row r="88" spans="1:7" x14ac:dyDescent="0.2">
      <c r="A88" s="265" t="s">
        <v>40</v>
      </c>
      <c r="B88" s="17" t="s">
        <v>7</v>
      </c>
      <c r="C88" s="84">
        <f>E36</f>
        <v>1</v>
      </c>
      <c r="D88" s="277">
        <v>136</v>
      </c>
      <c r="E88" s="48">
        <f>C88*D88</f>
        <v>136</v>
      </c>
      <c r="F88" s="23"/>
      <c r="G88" s="9"/>
    </row>
    <row r="89" spans="1:7" ht="13.5" thickBot="1" x14ac:dyDescent="0.25">
      <c r="A89" s="265" t="s">
        <v>70</v>
      </c>
      <c r="B89" s="17" t="s">
        <v>7</v>
      </c>
      <c r="C89" s="84">
        <f>E35</f>
        <v>2</v>
      </c>
      <c r="D89" s="277">
        <v>136</v>
      </c>
      <c r="E89" s="48">
        <f>C89*D89</f>
        <v>272</v>
      </c>
      <c r="F89" s="23"/>
      <c r="G89" s="9"/>
    </row>
    <row r="90" spans="1:7" ht="13.5" thickBot="1" x14ac:dyDescent="0.25">
      <c r="D90" s="104" t="s">
        <v>192</v>
      </c>
      <c r="E90" s="48">
        <v>1</v>
      </c>
      <c r="F90" s="22">
        <f>SUM(E88:E89)*E90</f>
        <v>408</v>
      </c>
      <c r="G90" s="9"/>
    </row>
    <row r="91" spans="1:7" ht="13.5" thickBot="1" x14ac:dyDescent="0.25"/>
    <row r="92" spans="1:7" ht="13.5" thickBot="1" x14ac:dyDescent="0.25">
      <c r="A92" s="24" t="s">
        <v>88</v>
      </c>
      <c r="B92" s="25"/>
      <c r="C92" s="25"/>
      <c r="D92" s="26"/>
      <c r="E92" s="27"/>
      <c r="F92" s="22">
        <f>F61+F76+F84+F90</f>
        <v>9074.8624144000005</v>
      </c>
      <c r="G92" s="9"/>
    </row>
    <row r="93" spans="1:7" ht="11.25" customHeight="1" x14ac:dyDescent="0.2">
      <c r="G93" s="9"/>
    </row>
    <row r="94" spans="1:7" ht="13.9" customHeight="1" x14ac:dyDescent="0.2">
      <c r="A94" s="11" t="s">
        <v>41</v>
      </c>
      <c r="G94" s="9"/>
    </row>
    <row r="95" spans="1:7" ht="11.25" customHeight="1" x14ac:dyDescent="0.2">
      <c r="G95" s="9"/>
    </row>
    <row r="96" spans="1:7" ht="27.75" customHeight="1" x14ac:dyDescent="0.2">
      <c r="A96" s="9" t="s">
        <v>193</v>
      </c>
      <c r="G96" s="9"/>
    </row>
    <row r="97" spans="1:7" ht="13.5" customHeight="1" thickBot="1" x14ac:dyDescent="0.25">
      <c r="G97" s="9"/>
    </row>
    <row r="98" spans="1:7" ht="24" customHeight="1" thickBot="1" x14ac:dyDescent="0.25">
      <c r="A98" s="58" t="s">
        <v>59</v>
      </c>
      <c r="B98" s="59" t="s">
        <v>60</v>
      </c>
      <c r="C98" s="244" t="s">
        <v>258</v>
      </c>
      <c r="D98" s="60" t="s">
        <v>245</v>
      </c>
      <c r="E98" s="60" t="s">
        <v>61</v>
      </c>
      <c r="F98" s="61" t="s">
        <v>62</v>
      </c>
      <c r="G98" s="9"/>
    </row>
    <row r="99" spans="1:7" x14ac:dyDescent="0.2">
      <c r="A99" s="13" t="s">
        <v>63</v>
      </c>
      <c r="B99" s="14" t="s">
        <v>7</v>
      </c>
      <c r="C99" s="278">
        <v>6</v>
      </c>
      <c r="D99" s="88">
        <v>150</v>
      </c>
      <c r="E99" s="15">
        <f>IFERROR(D99/C99,0)</f>
        <v>25</v>
      </c>
      <c r="G99" s="9"/>
    </row>
    <row r="100" spans="1:7" ht="13.15" customHeight="1" x14ac:dyDescent="0.2">
      <c r="A100" s="16" t="s">
        <v>26</v>
      </c>
      <c r="B100" s="17" t="s">
        <v>7</v>
      </c>
      <c r="C100" s="278">
        <v>4</v>
      </c>
      <c r="D100" s="88">
        <v>45.8</v>
      </c>
      <c r="E100" s="15">
        <f t="shared" ref="E100:E108" si="1">IFERROR(D100/C100,0)</f>
        <v>11.45</v>
      </c>
      <c r="G100" s="9"/>
    </row>
    <row r="101" spans="1:7" ht="13.9" customHeight="1" x14ac:dyDescent="0.2">
      <c r="A101" s="16" t="s">
        <v>27</v>
      </c>
      <c r="B101" s="17" t="s">
        <v>7</v>
      </c>
      <c r="C101" s="278">
        <v>4</v>
      </c>
      <c r="D101" s="88">
        <v>35.200000000000003</v>
      </c>
      <c r="E101" s="15">
        <f t="shared" si="1"/>
        <v>8.8000000000000007</v>
      </c>
      <c r="G101" s="9"/>
    </row>
    <row r="102" spans="1:7" ht="13.15" customHeight="1" x14ac:dyDescent="0.2">
      <c r="A102" s="16" t="s">
        <v>28</v>
      </c>
      <c r="B102" s="17" t="s">
        <v>7</v>
      </c>
      <c r="C102" s="278">
        <v>6</v>
      </c>
      <c r="D102" s="88">
        <v>22</v>
      </c>
      <c r="E102" s="15">
        <f t="shared" si="1"/>
        <v>3.6666666666666665</v>
      </c>
    </row>
    <row r="103" spans="1:7" x14ac:dyDescent="0.2">
      <c r="A103" s="16" t="s">
        <v>65</v>
      </c>
      <c r="B103" s="17" t="s">
        <v>44</v>
      </c>
      <c r="C103" s="278">
        <v>6</v>
      </c>
      <c r="D103" s="88">
        <v>75.5</v>
      </c>
      <c r="E103" s="15">
        <f t="shared" si="1"/>
        <v>12.583333333333334</v>
      </c>
    </row>
    <row r="104" spans="1:7" s="1" customFormat="1" x14ac:dyDescent="0.2">
      <c r="A104" s="16" t="s">
        <v>89</v>
      </c>
      <c r="B104" s="17" t="s">
        <v>44</v>
      </c>
      <c r="C104" s="278">
        <v>4</v>
      </c>
      <c r="D104" s="88">
        <v>5.5</v>
      </c>
      <c r="E104" s="15">
        <f t="shared" si="1"/>
        <v>1.375</v>
      </c>
      <c r="F104" s="10"/>
      <c r="G104" s="37"/>
    </row>
    <row r="105" spans="1:7" x14ac:dyDescent="0.2">
      <c r="A105" s="16" t="s">
        <v>64</v>
      </c>
      <c r="B105" s="17" t="s">
        <v>7</v>
      </c>
      <c r="C105" s="278">
        <v>6</v>
      </c>
      <c r="D105" s="88">
        <v>35.5</v>
      </c>
      <c r="E105" s="15">
        <f t="shared" si="1"/>
        <v>5.916666666666667</v>
      </c>
    </row>
    <row r="106" spans="1:7" ht="13.15" customHeight="1" x14ac:dyDescent="0.2">
      <c r="A106" s="2" t="s">
        <v>8</v>
      </c>
      <c r="B106" s="3" t="s">
        <v>7</v>
      </c>
      <c r="C106" s="278">
        <v>6</v>
      </c>
      <c r="D106" s="88">
        <v>45</v>
      </c>
      <c r="E106" s="15">
        <f t="shared" si="1"/>
        <v>7.5</v>
      </c>
      <c r="F106" s="37"/>
    </row>
    <row r="107" spans="1:7" x14ac:dyDescent="0.2">
      <c r="A107" s="16" t="s">
        <v>29</v>
      </c>
      <c r="B107" s="17" t="s">
        <v>44</v>
      </c>
      <c r="C107" s="278">
        <v>2</v>
      </c>
      <c r="D107" s="88">
        <v>17</v>
      </c>
      <c r="E107" s="15">
        <f t="shared" si="1"/>
        <v>8.5</v>
      </c>
    </row>
    <row r="108" spans="1:7" x14ac:dyDescent="0.2">
      <c r="A108" s="16" t="s">
        <v>58</v>
      </c>
      <c r="B108" s="17" t="s">
        <v>45</v>
      </c>
      <c r="C108" s="278">
        <v>4</v>
      </c>
      <c r="D108" s="88">
        <v>25</v>
      </c>
      <c r="E108" s="15">
        <f t="shared" si="1"/>
        <v>6.25</v>
      </c>
    </row>
    <row r="109" spans="1:7" x14ac:dyDescent="0.2">
      <c r="A109" s="16" t="s">
        <v>194</v>
      </c>
      <c r="B109" s="17" t="s">
        <v>116</v>
      </c>
      <c r="C109" s="102">
        <v>1</v>
      </c>
      <c r="D109" s="88">
        <v>80</v>
      </c>
      <c r="E109" s="18">
        <f t="shared" ref="E109:E110" si="2">C109*D109</f>
        <v>80</v>
      </c>
    </row>
    <row r="110" spans="1:7" ht="11.25" customHeight="1" thickBot="1" x14ac:dyDescent="0.25">
      <c r="A110" s="16" t="s">
        <v>4</v>
      </c>
      <c r="B110" s="17" t="s">
        <v>5</v>
      </c>
      <c r="C110" s="66">
        <f>E35</f>
        <v>2</v>
      </c>
      <c r="D110" s="18">
        <f>+SUM(E99:E109)</f>
        <v>171.04166666666669</v>
      </c>
      <c r="E110" s="18">
        <f t="shared" si="2"/>
        <v>342.08333333333337</v>
      </c>
    </row>
    <row r="111" spans="1:7" ht="13.9" customHeight="1" thickBot="1" x14ac:dyDescent="0.25">
      <c r="D111" s="104" t="s">
        <v>192</v>
      </c>
      <c r="E111" s="48">
        <v>1</v>
      </c>
      <c r="F111" s="105">
        <f>E110*E111</f>
        <v>342.08333333333337</v>
      </c>
    </row>
    <row r="112" spans="1:7" ht="11.25" customHeight="1" x14ac:dyDescent="0.2"/>
    <row r="113" spans="1:7" x14ac:dyDescent="0.2">
      <c r="A113" s="9" t="s">
        <v>195</v>
      </c>
    </row>
    <row r="114" spans="1:7" ht="13.5" thickBot="1" x14ac:dyDescent="0.25"/>
    <row r="115" spans="1:7" ht="24.75" thickBot="1" x14ac:dyDescent="0.25">
      <c r="A115" s="58" t="s">
        <v>59</v>
      </c>
      <c r="B115" s="59" t="s">
        <v>60</v>
      </c>
      <c r="C115" s="244" t="s">
        <v>258</v>
      </c>
      <c r="D115" s="60" t="s">
        <v>245</v>
      </c>
      <c r="E115" s="60" t="s">
        <v>61</v>
      </c>
      <c r="F115" s="61" t="s">
        <v>62</v>
      </c>
    </row>
    <row r="116" spans="1:7" x14ac:dyDescent="0.2">
      <c r="A116" s="13" t="s">
        <v>63</v>
      </c>
      <c r="B116" s="14" t="s">
        <v>7</v>
      </c>
      <c r="C116" s="278">
        <v>6</v>
      </c>
      <c r="D116" s="88">
        <f>+D99</f>
        <v>150</v>
      </c>
      <c r="E116" s="15">
        <f>IFERROR(D116/C116,0)</f>
        <v>25</v>
      </c>
    </row>
    <row r="117" spans="1:7" x14ac:dyDescent="0.2">
      <c r="A117" s="16" t="s">
        <v>26</v>
      </c>
      <c r="B117" s="17" t="s">
        <v>7</v>
      </c>
      <c r="C117" s="278">
        <v>6</v>
      </c>
      <c r="D117" s="80">
        <f>+D100</f>
        <v>45.8</v>
      </c>
      <c r="E117" s="15">
        <f t="shared" ref="E117:E121" si="3">IFERROR(D117/C117,0)</f>
        <v>7.6333333333333329</v>
      </c>
    </row>
    <row r="118" spans="1:7" x14ac:dyDescent="0.2">
      <c r="A118" s="16" t="s">
        <v>27</v>
      </c>
      <c r="B118" s="17" t="s">
        <v>7</v>
      </c>
      <c r="C118" s="278">
        <v>4</v>
      </c>
      <c r="D118" s="80">
        <f>+D101</f>
        <v>35.200000000000003</v>
      </c>
      <c r="E118" s="15">
        <f t="shared" si="3"/>
        <v>8.8000000000000007</v>
      </c>
      <c r="G118" s="9"/>
    </row>
    <row r="119" spans="1:7" x14ac:dyDescent="0.2">
      <c r="A119" s="16" t="s">
        <v>65</v>
      </c>
      <c r="B119" s="17" t="s">
        <v>44</v>
      </c>
      <c r="C119" s="278">
        <v>6</v>
      </c>
      <c r="D119" s="80">
        <f>+D103</f>
        <v>75.5</v>
      </c>
      <c r="E119" s="15">
        <f t="shared" si="3"/>
        <v>12.583333333333334</v>
      </c>
      <c r="G119" s="9"/>
    </row>
    <row r="120" spans="1:7" x14ac:dyDescent="0.2">
      <c r="A120" s="16" t="s">
        <v>64</v>
      </c>
      <c r="B120" s="17" t="s">
        <v>7</v>
      </c>
      <c r="C120" s="278">
        <v>6</v>
      </c>
      <c r="D120" s="80">
        <f>+D105</f>
        <v>35.5</v>
      </c>
      <c r="E120" s="15">
        <f t="shared" si="3"/>
        <v>5.916666666666667</v>
      </c>
      <c r="G120" s="9"/>
    </row>
    <row r="121" spans="1:7" x14ac:dyDescent="0.2">
      <c r="A121" s="16" t="s">
        <v>58</v>
      </c>
      <c r="B121" s="17" t="s">
        <v>45</v>
      </c>
      <c r="C121" s="278">
        <v>6</v>
      </c>
      <c r="D121" s="80">
        <f>+D108</f>
        <v>25</v>
      </c>
      <c r="E121" s="15">
        <f t="shared" si="3"/>
        <v>4.166666666666667</v>
      </c>
      <c r="G121" s="9"/>
    </row>
    <row r="122" spans="1:7" x14ac:dyDescent="0.2">
      <c r="A122" s="16" t="s">
        <v>194</v>
      </c>
      <c r="B122" s="17" t="s">
        <v>116</v>
      </c>
      <c r="C122" s="102">
        <v>1</v>
      </c>
      <c r="D122" s="88">
        <v>50</v>
      </c>
      <c r="E122" s="18">
        <f t="shared" ref="E122:E123" si="4">C122*D122</f>
        <v>50</v>
      </c>
      <c r="G122" s="9"/>
    </row>
    <row r="123" spans="1:7" ht="11.25" customHeight="1" thickBot="1" x14ac:dyDescent="0.25">
      <c r="A123" s="16" t="s">
        <v>4</v>
      </c>
      <c r="B123" s="17" t="s">
        <v>5</v>
      </c>
      <c r="C123" s="66">
        <f>E36</f>
        <v>1</v>
      </c>
      <c r="D123" s="18">
        <f>E116+E117+E118+E119+E120+E121+E122</f>
        <v>114.10000000000001</v>
      </c>
      <c r="E123" s="18">
        <f t="shared" si="4"/>
        <v>114.10000000000001</v>
      </c>
      <c r="G123" s="9"/>
    </row>
    <row r="124" spans="1:7" ht="13.5" thickBot="1" x14ac:dyDescent="0.25">
      <c r="D124" s="104" t="s">
        <v>192</v>
      </c>
      <c r="E124" s="48">
        <v>1</v>
      </c>
      <c r="F124" s="105">
        <f>E123*E124</f>
        <v>114.10000000000001</v>
      </c>
      <c r="G124" s="9"/>
    </row>
    <row r="125" spans="1:7" ht="11.25" customHeight="1" thickBot="1" x14ac:dyDescent="0.25">
      <c r="G125" s="9"/>
    </row>
    <row r="126" spans="1:7" ht="13.5" thickBot="1" x14ac:dyDescent="0.25">
      <c r="A126" s="24" t="s">
        <v>196</v>
      </c>
      <c r="B126" s="28"/>
      <c r="C126" s="28"/>
      <c r="D126" s="29"/>
      <c r="E126" s="30"/>
      <c r="F126" s="21">
        <f>+F111+F124</f>
        <v>456.18333333333339</v>
      </c>
      <c r="G126" s="9"/>
    </row>
    <row r="127" spans="1:7" ht="11.25" customHeight="1" x14ac:dyDescent="0.2">
      <c r="G127" s="9"/>
    </row>
    <row r="128" spans="1:7" x14ac:dyDescent="0.2">
      <c r="A128" s="11" t="s">
        <v>50</v>
      </c>
      <c r="G128" s="9"/>
    </row>
    <row r="129" spans="1:10" ht="11.25" customHeight="1" x14ac:dyDescent="0.2">
      <c r="B129" s="89"/>
      <c r="G129" s="9"/>
    </row>
    <row r="130" spans="1:10" x14ac:dyDescent="0.2">
      <c r="A130" s="7" t="s">
        <v>290</v>
      </c>
      <c r="G130" s="9"/>
    </row>
    <row r="131" spans="1:10" x14ac:dyDescent="0.2">
      <c r="G131" s="9"/>
    </row>
    <row r="132" spans="1:10" ht="13.5" thickBot="1" x14ac:dyDescent="0.25">
      <c r="A132" s="292" t="s">
        <v>42</v>
      </c>
      <c r="G132" s="9"/>
    </row>
    <row r="133" spans="1:10" ht="13.5" thickBot="1" x14ac:dyDescent="0.25">
      <c r="A133" s="58" t="s">
        <v>59</v>
      </c>
      <c r="B133" s="59" t="s">
        <v>60</v>
      </c>
      <c r="C133" s="59" t="s">
        <v>36</v>
      </c>
      <c r="D133" s="60" t="s">
        <v>245</v>
      </c>
      <c r="E133" s="60" t="s">
        <v>61</v>
      </c>
      <c r="F133" s="61" t="s">
        <v>62</v>
      </c>
      <c r="G133" s="9"/>
    </row>
    <row r="134" spans="1:10" x14ac:dyDescent="0.2">
      <c r="A134" s="13" t="s">
        <v>100</v>
      </c>
      <c r="B134" s="14" t="s">
        <v>7</v>
      </c>
      <c r="C134" s="249">
        <v>1</v>
      </c>
      <c r="D134" s="88">
        <v>195000</v>
      </c>
      <c r="E134" s="15">
        <f>C134*D134</f>
        <v>195000</v>
      </c>
      <c r="I134" s="82"/>
      <c r="J134" s="82"/>
    </row>
    <row r="135" spans="1:10" x14ac:dyDescent="0.2">
      <c r="A135" s="16" t="s">
        <v>94</v>
      </c>
      <c r="B135" s="17" t="s">
        <v>95</v>
      </c>
      <c r="C135" s="250">
        <v>5</v>
      </c>
      <c r="D135" s="80"/>
      <c r="E135" s="18"/>
    </row>
    <row r="136" spans="1:10" x14ac:dyDescent="0.2">
      <c r="A136" s="16" t="s">
        <v>201</v>
      </c>
      <c r="B136" s="17" t="s">
        <v>95</v>
      </c>
      <c r="C136" s="250">
        <v>0</v>
      </c>
      <c r="D136" s="80"/>
      <c r="E136" s="18"/>
      <c r="F136" s="20"/>
    </row>
    <row r="137" spans="1:10" x14ac:dyDescent="0.2">
      <c r="A137" s="16" t="s">
        <v>98</v>
      </c>
      <c r="B137" s="17" t="s">
        <v>1</v>
      </c>
      <c r="C137" s="80">
        <f xml:space="preserve"> (1-0.45905)*100</f>
        <v>54.095000000000006</v>
      </c>
      <c r="D137" s="80">
        <f>E134</f>
        <v>195000</v>
      </c>
      <c r="E137" s="18">
        <f>C137*D137/100</f>
        <v>105485.25000000001</v>
      </c>
      <c r="G137" s="9"/>
    </row>
    <row r="138" spans="1:10" x14ac:dyDescent="0.2">
      <c r="A138" s="85" t="s">
        <v>46</v>
      </c>
      <c r="B138" s="86" t="s">
        <v>6</v>
      </c>
      <c r="C138" s="279">
        <f>C135*12</f>
        <v>60</v>
      </c>
      <c r="D138" s="95">
        <f>IF(C136&lt;=C135,E137,0)</f>
        <v>105485.25000000001</v>
      </c>
      <c r="E138" s="87">
        <f>IFERROR(D138/C138,0)</f>
        <v>1758.0875000000003</v>
      </c>
    </row>
    <row r="139" spans="1:10" x14ac:dyDescent="0.2">
      <c r="A139" s="16" t="s">
        <v>99</v>
      </c>
      <c r="B139" s="17" t="s">
        <v>7</v>
      </c>
      <c r="C139" s="250">
        <f>C134</f>
        <v>1</v>
      </c>
      <c r="D139" s="80">
        <v>110000</v>
      </c>
      <c r="E139" s="18">
        <f>C139*D139</f>
        <v>110000</v>
      </c>
      <c r="I139" s="82"/>
      <c r="J139" s="82"/>
    </row>
    <row r="140" spans="1:10" x14ac:dyDescent="0.2">
      <c r="A140" s="16" t="s">
        <v>96</v>
      </c>
      <c r="B140" s="17" t="s">
        <v>95</v>
      </c>
      <c r="C140" s="250">
        <v>5</v>
      </c>
      <c r="D140" s="80"/>
      <c r="E140" s="18"/>
    </row>
    <row r="141" spans="1:10" x14ac:dyDescent="0.2">
      <c r="A141" s="16" t="s">
        <v>202</v>
      </c>
      <c r="B141" s="17" t="s">
        <v>95</v>
      </c>
      <c r="C141" s="250">
        <v>0</v>
      </c>
      <c r="D141" s="80"/>
      <c r="E141" s="18"/>
      <c r="F141" s="20"/>
    </row>
    <row r="142" spans="1:10" x14ac:dyDescent="0.2">
      <c r="A142" s="16" t="s">
        <v>97</v>
      </c>
      <c r="B142" s="17" t="s">
        <v>1</v>
      </c>
      <c r="C142" s="280">
        <f>C137</f>
        <v>54.095000000000006</v>
      </c>
      <c r="D142" s="80">
        <f>E139</f>
        <v>110000</v>
      </c>
      <c r="E142" s="18">
        <f>C142*D142/100</f>
        <v>59504.500000000007</v>
      </c>
    </row>
    <row r="143" spans="1:10" x14ac:dyDescent="0.2">
      <c r="A143" s="85" t="s">
        <v>101</v>
      </c>
      <c r="B143" s="86" t="s">
        <v>6</v>
      </c>
      <c r="C143" s="279">
        <f>C140*12</f>
        <v>60</v>
      </c>
      <c r="D143" s="95">
        <f>IF(C141&lt;=C140,E142,0)</f>
        <v>59504.500000000007</v>
      </c>
      <c r="E143" s="87">
        <f>IFERROR(D143/C143,0)</f>
        <v>991.74166666666679</v>
      </c>
    </row>
    <row r="144" spans="1:10" x14ac:dyDescent="0.2">
      <c r="A144" s="98" t="s">
        <v>261</v>
      </c>
      <c r="B144" s="99"/>
      <c r="C144" s="275"/>
      <c r="D144" s="281"/>
      <c r="E144" s="101">
        <f>E138+E143</f>
        <v>2749.8291666666673</v>
      </c>
    </row>
    <row r="145" spans="1:10" ht="11.25" customHeight="1" thickBot="1" x14ac:dyDescent="0.25">
      <c r="A145" s="85" t="s">
        <v>262</v>
      </c>
      <c r="B145" s="86" t="s">
        <v>7</v>
      </c>
      <c r="C145" s="250">
        <v>1</v>
      </c>
      <c r="D145" s="95">
        <f>E144</f>
        <v>2749.8291666666673</v>
      </c>
      <c r="E145" s="101">
        <f>C145*D145</f>
        <v>2749.8291666666673</v>
      </c>
    </row>
    <row r="146" spans="1:10" ht="13.5" thickBot="1" x14ac:dyDescent="0.25">
      <c r="A146" s="248"/>
      <c r="B146" s="248"/>
      <c r="C146" s="248"/>
      <c r="D146" s="104" t="s">
        <v>192</v>
      </c>
      <c r="E146" s="48">
        <f>E124</f>
        <v>1</v>
      </c>
      <c r="F146" s="21">
        <f>E145*E146</f>
        <v>2749.8291666666673</v>
      </c>
    </row>
    <row r="147" spans="1:10" x14ac:dyDescent="0.2">
      <c r="I147" s="82"/>
      <c r="J147" s="82"/>
    </row>
    <row r="148" spans="1:10" ht="13.5" thickBot="1" x14ac:dyDescent="0.25">
      <c r="A148" s="292" t="s">
        <v>106</v>
      </c>
      <c r="I148" s="82"/>
      <c r="J148" s="82"/>
    </row>
    <row r="149" spans="1:10" ht="13.5" thickBot="1" x14ac:dyDescent="0.25">
      <c r="A149" s="91" t="s">
        <v>59</v>
      </c>
      <c r="B149" s="92" t="s">
        <v>60</v>
      </c>
      <c r="C149" s="92" t="s">
        <v>36</v>
      </c>
      <c r="D149" s="60" t="s">
        <v>245</v>
      </c>
      <c r="E149" s="93" t="s">
        <v>61</v>
      </c>
      <c r="F149" s="61" t="s">
        <v>62</v>
      </c>
      <c r="I149" s="82"/>
      <c r="J149" s="82"/>
    </row>
    <row r="150" spans="1:10" x14ac:dyDescent="0.2">
      <c r="A150" s="16" t="s">
        <v>104</v>
      </c>
      <c r="B150" s="17" t="s">
        <v>7</v>
      </c>
      <c r="C150" s="80">
        <v>1</v>
      </c>
      <c r="D150" s="18">
        <f>D134</f>
        <v>195000</v>
      </c>
      <c r="E150" s="18">
        <f>C150*D150</f>
        <v>195000</v>
      </c>
      <c r="F150" s="20"/>
      <c r="I150" s="82"/>
      <c r="J150" s="82"/>
    </row>
    <row r="151" spans="1:10" x14ac:dyDescent="0.2">
      <c r="A151" s="16" t="s">
        <v>205</v>
      </c>
      <c r="B151" s="17" t="s">
        <v>1</v>
      </c>
      <c r="C151" s="250">
        <v>6.5</v>
      </c>
      <c r="D151" s="18"/>
      <c r="E151" s="18"/>
      <c r="F151" s="20"/>
      <c r="I151" s="82"/>
      <c r="J151" s="82"/>
    </row>
    <row r="152" spans="1:10" x14ac:dyDescent="0.2">
      <c r="A152" s="16" t="s">
        <v>203</v>
      </c>
      <c r="B152" s="17" t="s">
        <v>31</v>
      </c>
      <c r="C152" s="127">
        <f>IFERROR(IF(C136&lt;=C135,E134-(C137/(100*C135)*C136)*E134,E134-E137),0)</f>
        <v>195000</v>
      </c>
      <c r="D152" s="18"/>
      <c r="E152" s="18"/>
      <c r="F152" s="20"/>
      <c r="I152" s="82"/>
      <c r="J152" s="82"/>
    </row>
    <row r="153" spans="1:10" x14ac:dyDescent="0.2">
      <c r="A153" s="16" t="s">
        <v>109</v>
      </c>
      <c r="B153" s="17" t="s">
        <v>31</v>
      </c>
      <c r="C153" s="80">
        <f>IFERROR(IF(C136&gt;=C135,C152,((((C152)-(E134-E137))*(((C135-C136)+1)/(2*(C135-C136))))+(E134-E137))),0)</f>
        <v>152805.9</v>
      </c>
      <c r="D153" s="18"/>
      <c r="E153" s="18"/>
      <c r="F153" s="20"/>
      <c r="I153" s="82"/>
      <c r="J153" s="82"/>
    </row>
    <row r="154" spans="1:10" x14ac:dyDescent="0.2">
      <c r="A154" s="85" t="s">
        <v>110</v>
      </c>
      <c r="B154" s="86" t="s">
        <v>31</v>
      </c>
      <c r="C154" s="86"/>
      <c r="D154" s="95">
        <f>C151*C153/12/100</f>
        <v>827.69862499999999</v>
      </c>
      <c r="E154" s="87">
        <f>D154</f>
        <v>827.69862499999999</v>
      </c>
      <c r="F154" s="20"/>
      <c r="I154" s="82"/>
      <c r="J154" s="82"/>
    </row>
    <row r="155" spans="1:10" x14ac:dyDescent="0.2">
      <c r="A155" s="16" t="s">
        <v>105</v>
      </c>
      <c r="B155" s="17" t="s">
        <v>7</v>
      </c>
      <c r="C155" s="80">
        <f>C139</f>
        <v>1</v>
      </c>
      <c r="D155" s="18">
        <f>D139</f>
        <v>110000</v>
      </c>
      <c r="E155" s="18">
        <f>C155*D155</f>
        <v>110000</v>
      </c>
      <c r="F155" s="20"/>
      <c r="I155" s="82"/>
      <c r="J155" s="82"/>
    </row>
    <row r="156" spans="1:10" x14ac:dyDescent="0.2">
      <c r="A156" s="16" t="s">
        <v>205</v>
      </c>
      <c r="B156" s="17" t="s">
        <v>1</v>
      </c>
      <c r="C156" s="250">
        <v>6.5</v>
      </c>
      <c r="D156" s="18"/>
      <c r="E156" s="18"/>
      <c r="F156" s="20"/>
      <c r="I156" s="82"/>
      <c r="J156" s="82"/>
    </row>
    <row r="157" spans="1:10" x14ac:dyDescent="0.2">
      <c r="A157" s="16" t="s">
        <v>204</v>
      </c>
      <c r="B157" s="17" t="s">
        <v>31</v>
      </c>
      <c r="C157" s="127">
        <f>IFERROR(IF(C141&lt;=C140,E139-(C142/(100*C140)*C141)*E139,E139-E142),0)</f>
        <v>110000</v>
      </c>
      <c r="D157" s="18"/>
      <c r="E157" s="18"/>
      <c r="F157" s="20"/>
      <c r="I157" s="82"/>
      <c r="J157" s="82"/>
    </row>
    <row r="158" spans="1:10" x14ac:dyDescent="0.2">
      <c r="A158" s="16" t="s">
        <v>111</v>
      </c>
      <c r="B158" s="17" t="s">
        <v>31</v>
      </c>
      <c r="C158" s="80">
        <f>IFERROR(IF(C141&gt;=C140,C157,((((C157)-(E139-E142))*(((C140-C141)+1)/(2*(C140-C141))))+(E139-E142))),0)</f>
        <v>86198.2</v>
      </c>
      <c r="D158" s="18"/>
      <c r="E158" s="18"/>
      <c r="F158" s="20"/>
      <c r="I158" s="82"/>
      <c r="J158" s="82"/>
    </row>
    <row r="159" spans="1:10" x14ac:dyDescent="0.2">
      <c r="A159" s="85" t="s">
        <v>108</v>
      </c>
      <c r="B159" s="86" t="s">
        <v>31</v>
      </c>
      <c r="C159" s="86"/>
      <c r="D159" s="95">
        <f>C156*C158/12/100</f>
        <v>466.90691666666658</v>
      </c>
      <c r="E159" s="87">
        <f>D159</f>
        <v>466.90691666666658</v>
      </c>
      <c r="F159" s="20"/>
      <c r="I159" s="82"/>
      <c r="J159" s="82"/>
    </row>
    <row r="160" spans="1:10" x14ac:dyDescent="0.2">
      <c r="A160" s="98" t="s">
        <v>261</v>
      </c>
      <c r="B160" s="99"/>
      <c r="C160" s="99"/>
      <c r="D160" s="100"/>
      <c r="E160" s="101">
        <f>E154+E159</f>
        <v>1294.6055416666666</v>
      </c>
      <c r="F160" s="20"/>
      <c r="I160" s="82"/>
      <c r="J160" s="82"/>
    </row>
    <row r="161" spans="1:10" ht="11.25" customHeight="1" thickBot="1" x14ac:dyDescent="0.25">
      <c r="A161" s="85" t="s">
        <v>262</v>
      </c>
      <c r="B161" s="86" t="s">
        <v>7</v>
      </c>
      <c r="C161" s="250">
        <f>C145</f>
        <v>1</v>
      </c>
      <c r="D161" s="87">
        <f>E160</f>
        <v>1294.6055416666666</v>
      </c>
      <c r="E161" s="101">
        <f>C161*D161</f>
        <v>1294.6055416666666</v>
      </c>
      <c r="F161" s="20"/>
      <c r="I161" s="82"/>
      <c r="J161" s="82"/>
    </row>
    <row r="162" spans="1:10" ht="13.5" thickBot="1" x14ac:dyDescent="0.25">
      <c r="C162" s="19"/>
      <c r="D162" s="104" t="s">
        <v>192</v>
      </c>
      <c r="E162" s="48">
        <f>E146</f>
        <v>1</v>
      </c>
      <c r="F162" s="21">
        <f>E161*E162</f>
        <v>1294.6055416666666</v>
      </c>
      <c r="I162" s="82"/>
      <c r="J162" s="82"/>
    </row>
    <row r="163" spans="1:10" x14ac:dyDescent="0.2">
      <c r="I163" s="82"/>
      <c r="J163" s="82"/>
    </row>
    <row r="164" spans="1:10" ht="13.5" thickBot="1" x14ac:dyDescent="0.25">
      <c r="A164" s="9" t="s">
        <v>47</v>
      </c>
      <c r="I164" s="82"/>
      <c r="J164" s="82"/>
    </row>
    <row r="165" spans="1:10" ht="13.5" thickBot="1" x14ac:dyDescent="0.25">
      <c r="A165" s="58" t="s">
        <v>59</v>
      </c>
      <c r="B165" s="59" t="s">
        <v>60</v>
      </c>
      <c r="C165" s="59" t="s">
        <v>36</v>
      </c>
      <c r="D165" s="60" t="s">
        <v>245</v>
      </c>
      <c r="E165" s="60" t="s">
        <v>61</v>
      </c>
      <c r="F165" s="61" t="s">
        <v>62</v>
      </c>
      <c r="I165" s="82"/>
      <c r="J165" s="82"/>
    </row>
    <row r="166" spans="1:10" x14ac:dyDescent="0.2">
      <c r="A166" s="13" t="s">
        <v>9</v>
      </c>
      <c r="B166" s="14" t="s">
        <v>7</v>
      </c>
      <c r="C166" s="15">
        <f>C134</f>
        <v>1</v>
      </c>
      <c r="D166" s="15">
        <v>3005</v>
      </c>
      <c r="E166" s="15">
        <f>C166*D166</f>
        <v>3005</v>
      </c>
      <c r="I166" s="82"/>
      <c r="J166" s="82"/>
    </row>
    <row r="167" spans="1:10" x14ac:dyDescent="0.2">
      <c r="A167" s="16" t="s">
        <v>191</v>
      </c>
      <c r="B167" s="17" t="s">
        <v>7</v>
      </c>
      <c r="C167" s="15">
        <f>C134</f>
        <v>1</v>
      </c>
      <c r="D167" s="80">
        <v>244.86</v>
      </c>
      <c r="E167" s="18">
        <f>C167*D167</f>
        <v>244.86</v>
      </c>
      <c r="I167" s="82"/>
      <c r="J167" s="82"/>
    </row>
    <row r="168" spans="1:10" x14ac:dyDescent="0.2">
      <c r="A168" s="16" t="s">
        <v>10</v>
      </c>
      <c r="B168" s="17" t="s">
        <v>7</v>
      </c>
      <c r="C168" s="15">
        <f>C134</f>
        <v>1</v>
      </c>
      <c r="D168" s="80">
        <v>1600</v>
      </c>
      <c r="E168" s="18">
        <f>C168*D168</f>
        <v>1600</v>
      </c>
      <c r="F168" s="31"/>
      <c r="I168" s="82"/>
      <c r="J168" s="82"/>
    </row>
    <row r="169" spans="1:10" ht="11.25" customHeight="1" thickBot="1" x14ac:dyDescent="0.25">
      <c r="A169" s="85" t="s">
        <v>11</v>
      </c>
      <c r="B169" s="86" t="s">
        <v>6</v>
      </c>
      <c r="C169" s="86">
        <v>12</v>
      </c>
      <c r="D169" s="87">
        <f>SUM(E166:E168)</f>
        <v>4849.8600000000006</v>
      </c>
      <c r="E169" s="87">
        <f>D169/C169</f>
        <v>404.15500000000003</v>
      </c>
      <c r="I169" s="82"/>
      <c r="J169" s="82"/>
    </row>
    <row r="170" spans="1:10" ht="13.5" thickBot="1" x14ac:dyDescent="0.25">
      <c r="D170" s="104" t="s">
        <v>192</v>
      </c>
      <c r="E170" s="48">
        <f>E162</f>
        <v>1</v>
      </c>
      <c r="F170" s="105">
        <f>E169*E170</f>
        <v>404.15500000000003</v>
      </c>
      <c r="I170" s="82"/>
      <c r="J170" s="82"/>
    </row>
    <row r="171" spans="1:10" x14ac:dyDescent="0.2">
      <c r="I171" s="82"/>
      <c r="J171" s="82"/>
    </row>
    <row r="172" spans="1:10" x14ac:dyDescent="0.2">
      <c r="A172" s="9" t="s">
        <v>48</v>
      </c>
      <c r="B172" s="32"/>
      <c r="I172" s="82"/>
      <c r="J172" s="82"/>
    </row>
    <row r="173" spans="1:10" x14ac:dyDescent="0.2">
      <c r="B173" s="32"/>
      <c r="I173" s="82"/>
      <c r="J173" s="82"/>
    </row>
    <row r="174" spans="1:10" x14ac:dyDescent="0.2">
      <c r="A174" s="85" t="s">
        <v>113</v>
      </c>
      <c r="B174" s="282">
        <v>3147</v>
      </c>
      <c r="I174" s="82"/>
      <c r="J174" s="82"/>
    </row>
    <row r="175" spans="1:10" ht="13.5" thickBot="1" x14ac:dyDescent="0.25">
      <c r="B175" s="32"/>
      <c r="I175" s="82"/>
      <c r="J175" s="82"/>
    </row>
    <row r="176" spans="1:10" ht="13.5" thickBot="1" x14ac:dyDescent="0.25">
      <c r="A176" s="58" t="s">
        <v>59</v>
      </c>
      <c r="B176" s="59" t="s">
        <v>60</v>
      </c>
      <c r="C176" s="59" t="s">
        <v>260</v>
      </c>
      <c r="D176" s="60" t="s">
        <v>245</v>
      </c>
      <c r="E176" s="60" t="s">
        <v>61</v>
      </c>
      <c r="F176" s="61" t="s">
        <v>62</v>
      </c>
      <c r="I176" s="82"/>
      <c r="J176" s="82"/>
    </row>
    <row r="177" spans="1:10" x14ac:dyDescent="0.2">
      <c r="A177" s="13" t="s">
        <v>12</v>
      </c>
      <c r="B177" s="14" t="s">
        <v>13</v>
      </c>
      <c r="C177" s="283">
        <v>2</v>
      </c>
      <c r="D177" s="284">
        <v>3.53</v>
      </c>
      <c r="E177" s="15"/>
      <c r="G177" s="94"/>
      <c r="H177" s="50"/>
      <c r="I177" s="82"/>
      <c r="J177" s="82"/>
    </row>
    <row r="178" spans="1:10" x14ac:dyDescent="0.2">
      <c r="A178" s="16" t="s">
        <v>14</v>
      </c>
      <c r="B178" s="17" t="s">
        <v>15</v>
      </c>
      <c r="C178" s="258">
        <f>B174</f>
        <v>3147</v>
      </c>
      <c r="D178" s="284">
        <f>IFERROR(+D177/C177,"-")</f>
        <v>1.7649999999999999</v>
      </c>
      <c r="E178" s="18">
        <f>IFERROR(C178*D178,"-")</f>
        <v>5554.4549999999999</v>
      </c>
      <c r="G178" s="94"/>
      <c r="H178" s="50"/>
      <c r="I178" s="82"/>
      <c r="J178" s="82"/>
    </row>
    <row r="179" spans="1:10" x14ac:dyDescent="0.2">
      <c r="A179" s="16" t="s">
        <v>246</v>
      </c>
      <c r="B179" s="17" t="s">
        <v>16</v>
      </c>
      <c r="C179" s="285">
        <v>6</v>
      </c>
      <c r="D179" s="80">
        <v>8.5</v>
      </c>
      <c r="E179" s="18"/>
      <c r="G179" s="94"/>
      <c r="H179" s="50"/>
      <c r="I179" s="82"/>
      <c r="J179" s="82"/>
    </row>
    <row r="180" spans="1:10" x14ac:dyDescent="0.2">
      <c r="A180" s="16" t="s">
        <v>17</v>
      </c>
      <c r="B180" s="17" t="s">
        <v>15</v>
      </c>
      <c r="C180" s="258">
        <f>C178</f>
        <v>3147</v>
      </c>
      <c r="D180" s="286">
        <f>+C179*D179/1000</f>
        <v>5.0999999999999997E-2</v>
      </c>
      <c r="E180" s="18">
        <f>C180*D180</f>
        <v>160.49699999999999</v>
      </c>
      <c r="G180" s="94"/>
      <c r="H180" s="50"/>
      <c r="I180" s="82"/>
      <c r="J180" s="82"/>
    </row>
    <row r="181" spans="1:10" x14ac:dyDescent="0.2">
      <c r="A181" s="16" t="s">
        <v>247</v>
      </c>
      <c r="B181" s="17" t="s">
        <v>16</v>
      </c>
      <c r="C181" s="285">
        <v>0.85</v>
      </c>
      <c r="D181" s="80">
        <v>9.5</v>
      </c>
      <c r="E181" s="18"/>
      <c r="G181" s="94"/>
      <c r="H181" s="50"/>
      <c r="I181" s="82"/>
      <c r="J181" s="82"/>
    </row>
    <row r="182" spans="1:10" x14ac:dyDescent="0.2">
      <c r="A182" s="16" t="s">
        <v>18</v>
      </c>
      <c r="B182" s="17" t="s">
        <v>15</v>
      </c>
      <c r="C182" s="258">
        <f>C178</f>
        <v>3147</v>
      </c>
      <c r="D182" s="286">
        <f>+C181*D181/1000</f>
        <v>8.0749999999999988E-3</v>
      </c>
      <c r="E182" s="18">
        <f>C182*D182</f>
        <v>25.412024999999996</v>
      </c>
      <c r="G182" s="94"/>
      <c r="H182" s="50"/>
      <c r="I182" s="82"/>
      <c r="J182" s="82"/>
    </row>
    <row r="183" spans="1:10" x14ac:dyDescent="0.2">
      <c r="A183" s="16" t="s">
        <v>248</v>
      </c>
      <c r="B183" s="17" t="s">
        <v>16</v>
      </c>
      <c r="C183" s="285">
        <v>5</v>
      </c>
      <c r="D183" s="80">
        <v>9.5</v>
      </c>
      <c r="E183" s="18"/>
      <c r="G183" s="94"/>
      <c r="H183" s="50"/>
      <c r="I183" s="82"/>
      <c r="J183" s="82"/>
    </row>
    <row r="184" spans="1:10" x14ac:dyDescent="0.2">
      <c r="A184" s="16" t="s">
        <v>19</v>
      </c>
      <c r="B184" s="17" t="s">
        <v>15</v>
      </c>
      <c r="C184" s="258">
        <f>C178</f>
        <v>3147</v>
      </c>
      <c r="D184" s="286">
        <f>+C183*D183/1000</f>
        <v>4.7500000000000001E-2</v>
      </c>
      <c r="E184" s="18">
        <f>C184*D184</f>
        <v>149.48250000000002</v>
      </c>
      <c r="G184" s="94"/>
      <c r="H184" s="50"/>
      <c r="I184" s="82"/>
      <c r="J184" s="82"/>
    </row>
    <row r="185" spans="1:10" x14ac:dyDescent="0.2">
      <c r="A185" s="16" t="s">
        <v>20</v>
      </c>
      <c r="B185" s="17" t="s">
        <v>21</v>
      </c>
      <c r="C185" s="285">
        <v>2</v>
      </c>
      <c r="D185" s="80">
        <v>10</v>
      </c>
      <c r="E185" s="18"/>
      <c r="G185" s="94"/>
      <c r="H185" s="50"/>
      <c r="I185" s="82"/>
      <c r="J185" s="82"/>
    </row>
    <row r="186" spans="1:10" x14ac:dyDescent="0.2">
      <c r="A186" s="16" t="s">
        <v>22</v>
      </c>
      <c r="B186" s="17" t="s">
        <v>15</v>
      </c>
      <c r="C186" s="83">
        <f>C178</f>
        <v>3147</v>
      </c>
      <c r="D186" s="245">
        <f>+C185*D185/1000</f>
        <v>0.02</v>
      </c>
      <c r="E186" s="18">
        <f>C186*D186</f>
        <v>62.940000000000005</v>
      </c>
      <c r="I186" s="82"/>
      <c r="J186" s="82"/>
    </row>
    <row r="187" spans="1:10" ht="11.25" customHeight="1" thickBot="1" x14ac:dyDescent="0.25">
      <c r="A187" s="85" t="s">
        <v>259</v>
      </c>
      <c r="B187" s="86" t="s">
        <v>114</v>
      </c>
      <c r="C187" s="246"/>
      <c r="D187" s="247">
        <f>IFERROR(D178+D180+D182+D184+D186,0)</f>
        <v>1.891575</v>
      </c>
      <c r="E187" s="18"/>
      <c r="I187" s="82"/>
      <c r="J187" s="82"/>
    </row>
    <row r="188" spans="1:10" ht="13.5" thickBot="1" x14ac:dyDescent="0.25">
      <c r="F188" s="21">
        <f>SUM(E177:E186)</f>
        <v>5952.7865249999995</v>
      </c>
      <c r="I188" s="82"/>
      <c r="J188" s="82"/>
    </row>
    <row r="189" spans="1:10" x14ac:dyDescent="0.2">
      <c r="I189" s="82"/>
      <c r="J189" s="82"/>
    </row>
    <row r="190" spans="1:10" ht="13.5" thickBot="1" x14ac:dyDescent="0.25">
      <c r="A190" s="9" t="s">
        <v>49</v>
      </c>
      <c r="I190" s="82"/>
      <c r="J190" s="82"/>
    </row>
    <row r="191" spans="1:10" ht="13.5" thickBot="1" x14ac:dyDescent="0.25">
      <c r="A191" s="58" t="s">
        <v>59</v>
      </c>
      <c r="B191" s="59" t="s">
        <v>60</v>
      </c>
      <c r="C191" s="59" t="s">
        <v>36</v>
      </c>
      <c r="D191" s="60" t="s">
        <v>245</v>
      </c>
      <c r="E191" s="60" t="s">
        <v>61</v>
      </c>
      <c r="F191" s="61" t="s">
        <v>62</v>
      </c>
      <c r="I191" s="82"/>
      <c r="J191" s="82"/>
    </row>
    <row r="192" spans="1:10" ht="11.25" customHeight="1" thickBot="1" x14ac:dyDescent="0.25">
      <c r="A192" s="13" t="s">
        <v>112</v>
      </c>
      <c r="B192" s="14" t="s">
        <v>114</v>
      </c>
      <c r="C192" s="83">
        <f>C178</f>
        <v>3147</v>
      </c>
      <c r="D192" s="88">
        <v>0.6</v>
      </c>
      <c r="E192" s="15">
        <f>C192*D192</f>
        <v>1888.1999999999998</v>
      </c>
      <c r="I192" s="82"/>
      <c r="J192" s="82"/>
    </row>
    <row r="193" spans="1:10" ht="13.5" thickBot="1" x14ac:dyDescent="0.25">
      <c r="D193" s="255"/>
      <c r="F193" s="21">
        <f>E192</f>
        <v>1888.1999999999998</v>
      </c>
      <c r="I193" s="82"/>
      <c r="J193" s="82"/>
    </row>
    <row r="194" spans="1:10" x14ac:dyDescent="0.2">
      <c r="D194" s="255"/>
      <c r="I194" s="82"/>
      <c r="J194" s="82"/>
    </row>
    <row r="195" spans="1:10" ht="13.5" thickBot="1" x14ac:dyDescent="0.25">
      <c r="A195" s="7" t="s">
        <v>295</v>
      </c>
      <c r="I195" s="82"/>
      <c r="J195" s="82"/>
    </row>
    <row r="196" spans="1:10" ht="13.5" thickBot="1" x14ac:dyDescent="0.25">
      <c r="A196" s="58" t="s">
        <v>59</v>
      </c>
      <c r="B196" s="59" t="s">
        <v>60</v>
      </c>
      <c r="C196" s="59" t="s">
        <v>36</v>
      </c>
      <c r="D196" s="60" t="s">
        <v>245</v>
      </c>
      <c r="E196" s="60" t="s">
        <v>61</v>
      </c>
      <c r="F196" s="61" t="s">
        <v>62</v>
      </c>
      <c r="I196" s="82"/>
      <c r="J196" s="82"/>
    </row>
    <row r="197" spans="1:10" ht="11.25" customHeight="1" thickBot="1" x14ac:dyDescent="0.25">
      <c r="A197" s="318" t="s">
        <v>301</v>
      </c>
      <c r="B197" s="319" t="s">
        <v>7</v>
      </c>
      <c r="C197" s="83">
        <v>30</v>
      </c>
      <c r="D197" s="88">
        <v>120</v>
      </c>
      <c r="E197" s="15">
        <f>C197*D197</f>
        <v>3600</v>
      </c>
      <c r="I197" s="82"/>
      <c r="J197" s="82"/>
    </row>
    <row r="198" spans="1:10" ht="13.5" thickBot="1" x14ac:dyDescent="0.25">
      <c r="D198" s="255"/>
      <c r="F198" s="21">
        <f>E197</f>
        <v>3600</v>
      </c>
      <c r="I198" s="82"/>
      <c r="J198" s="82"/>
    </row>
    <row r="199" spans="1:10" x14ac:dyDescent="0.2">
      <c r="I199" s="82"/>
      <c r="J199" s="82"/>
    </row>
    <row r="200" spans="1:10" ht="13.5" thickBot="1" x14ac:dyDescent="0.25">
      <c r="A200" s="7" t="s">
        <v>294</v>
      </c>
      <c r="I200" s="82"/>
      <c r="J200" s="82"/>
    </row>
    <row r="201" spans="1:10" ht="13.5" thickBot="1" x14ac:dyDescent="0.25">
      <c r="A201" s="58" t="s">
        <v>59</v>
      </c>
      <c r="B201" s="59" t="s">
        <v>60</v>
      </c>
      <c r="C201" s="59" t="s">
        <v>36</v>
      </c>
      <c r="D201" s="60" t="s">
        <v>245</v>
      </c>
      <c r="E201" s="60" t="s">
        <v>61</v>
      </c>
      <c r="F201" s="61" t="s">
        <v>62</v>
      </c>
      <c r="I201" s="82"/>
      <c r="J201" s="82"/>
    </row>
    <row r="202" spans="1:10" x14ac:dyDescent="0.2">
      <c r="A202" s="13" t="s">
        <v>90</v>
      </c>
      <c r="B202" s="14" t="s">
        <v>7</v>
      </c>
      <c r="C202" s="249">
        <v>6</v>
      </c>
      <c r="D202" s="88">
        <v>1400</v>
      </c>
      <c r="E202" s="15">
        <f>C202*D202</f>
        <v>8400</v>
      </c>
      <c r="I202" s="82"/>
      <c r="J202" s="82"/>
    </row>
    <row r="203" spans="1:10" x14ac:dyDescent="0.2">
      <c r="A203" s="13" t="s">
        <v>115</v>
      </c>
      <c r="B203" s="14" t="s">
        <v>7</v>
      </c>
      <c r="C203" s="249">
        <v>2</v>
      </c>
      <c r="D203" s="88"/>
      <c r="E203" s="15"/>
      <c r="I203" s="82"/>
      <c r="J203" s="82"/>
    </row>
    <row r="204" spans="1:10" x14ac:dyDescent="0.2">
      <c r="A204" s="13" t="s">
        <v>67</v>
      </c>
      <c r="B204" s="14" t="s">
        <v>7</v>
      </c>
      <c r="C204" s="88">
        <f>C202*C203</f>
        <v>12</v>
      </c>
      <c r="D204" s="88">
        <v>400</v>
      </c>
      <c r="E204" s="15">
        <f>C204*D204</f>
        <v>4800</v>
      </c>
      <c r="I204" s="82"/>
      <c r="J204" s="82"/>
    </row>
    <row r="205" spans="1:10" x14ac:dyDescent="0.2">
      <c r="A205" s="265" t="s">
        <v>279</v>
      </c>
      <c r="B205" s="17" t="s">
        <v>23</v>
      </c>
      <c r="C205" s="287">
        <v>50000</v>
      </c>
      <c r="D205" s="80">
        <f>E202+E204</f>
        <v>13200</v>
      </c>
      <c r="E205" s="18">
        <f>IFERROR(D205/C205,"-")</f>
        <v>0.26400000000000001</v>
      </c>
      <c r="I205" s="82"/>
      <c r="J205" s="82"/>
    </row>
    <row r="206" spans="1:10" ht="11.25" customHeight="1" thickBot="1" x14ac:dyDescent="0.25">
      <c r="A206" s="16" t="s">
        <v>51</v>
      </c>
      <c r="B206" s="17" t="s">
        <v>15</v>
      </c>
      <c r="C206" s="83">
        <f>B174</f>
        <v>3147</v>
      </c>
      <c r="D206" s="18">
        <f>E205</f>
        <v>0.26400000000000001</v>
      </c>
      <c r="E206" s="18">
        <f>IFERROR(C206*D206,0)</f>
        <v>830.80799999999999</v>
      </c>
      <c r="I206" s="82"/>
      <c r="J206" s="82"/>
    </row>
    <row r="207" spans="1:10" ht="11.25" customHeight="1" thickBot="1" x14ac:dyDescent="0.25">
      <c r="F207" s="21">
        <f>E206</f>
        <v>830.80799999999999</v>
      </c>
      <c r="G207" s="9"/>
    </row>
    <row r="208" spans="1:10" x14ac:dyDescent="0.2">
      <c r="G208" s="9"/>
    </row>
    <row r="209" spans="1:7" ht="11.25" customHeight="1" thickBot="1" x14ac:dyDescent="0.25">
      <c r="G209" s="9"/>
    </row>
    <row r="210" spans="1:7" ht="13.5" thickBot="1" x14ac:dyDescent="0.25">
      <c r="A210" s="24" t="s">
        <v>232</v>
      </c>
      <c r="B210" s="25"/>
      <c r="C210" s="25"/>
      <c r="D210" s="26"/>
      <c r="E210" s="27"/>
      <c r="F210" s="21">
        <f>+SUM(F134:F209)</f>
        <v>16720.384233333334</v>
      </c>
      <c r="G210" s="9"/>
    </row>
    <row r="211" spans="1:7" ht="11.25" customHeight="1" x14ac:dyDescent="0.2">
      <c r="G211" s="9"/>
    </row>
    <row r="212" spans="1:7" x14ac:dyDescent="0.2">
      <c r="A212" s="34" t="s">
        <v>71</v>
      </c>
      <c r="B212" s="34"/>
      <c r="C212" s="34"/>
      <c r="D212" s="35"/>
      <c r="E212" s="35"/>
      <c r="F212" s="33"/>
      <c r="G212" s="9"/>
    </row>
    <row r="213" spans="1:7" ht="13.5" thickBot="1" x14ac:dyDescent="0.25">
      <c r="G213" s="9"/>
    </row>
    <row r="214" spans="1:7" ht="13.5" thickBot="1" x14ac:dyDescent="0.25">
      <c r="A214" s="58" t="s">
        <v>59</v>
      </c>
      <c r="B214" s="59" t="s">
        <v>60</v>
      </c>
      <c r="C214" s="59" t="s">
        <v>36</v>
      </c>
      <c r="D214" s="60" t="s">
        <v>245</v>
      </c>
      <c r="E214" s="60" t="s">
        <v>61</v>
      </c>
      <c r="F214" s="61" t="s">
        <v>62</v>
      </c>
      <c r="G214" s="9"/>
    </row>
    <row r="215" spans="1:7" x14ac:dyDescent="0.2">
      <c r="A215" s="16" t="s">
        <v>68</v>
      </c>
      <c r="B215" s="17" t="s">
        <v>7</v>
      </c>
      <c r="C215" s="288">
        <v>8.3333333333333329E-2</v>
      </c>
      <c r="D215" s="88">
        <v>25</v>
      </c>
      <c r="E215" s="18">
        <f>C215*D215</f>
        <v>2.083333333333333</v>
      </c>
      <c r="F215" s="53"/>
      <c r="G215" s="9"/>
    </row>
    <row r="216" spans="1:7" x14ac:dyDescent="0.2">
      <c r="A216" s="16" t="s">
        <v>24</v>
      </c>
      <c r="B216" s="17" t="s">
        <v>7</v>
      </c>
      <c r="C216" s="289">
        <v>0.16666666666666666</v>
      </c>
      <c r="D216" s="88">
        <v>25</v>
      </c>
      <c r="E216" s="18">
        <f>C216*D216</f>
        <v>4.1666666666666661</v>
      </c>
      <c r="F216" s="53"/>
      <c r="G216" s="9"/>
    </row>
    <row r="217" spans="1:7" x14ac:dyDescent="0.2">
      <c r="A217" s="16" t="s">
        <v>25</v>
      </c>
      <c r="B217" s="17" t="s">
        <v>7</v>
      </c>
      <c r="C217" s="289">
        <v>0.5</v>
      </c>
      <c r="D217" s="88">
        <v>20</v>
      </c>
      <c r="E217" s="18">
        <f>C217*D217</f>
        <v>10</v>
      </c>
      <c r="F217" s="53"/>
      <c r="G217" s="9"/>
    </row>
    <row r="218" spans="1:7" x14ac:dyDescent="0.2">
      <c r="A218" s="16" t="s">
        <v>53</v>
      </c>
      <c r="B218" s="17" t="s">
        <v>54</v>
      </c>
      <c r="C218" s="289">
        <v>8.3333333333333329E-2</v>
      </c>
      <c r="D218" s="88">
        <v>200</v>
      </c>
      <c r="E218" s="18">
        <f>C218*D218</f>
        <v>16.666666666666664</v>
      </c>
      <c r="F218" s="53"/>
      <c r="G218" s="9"/>
    </row>
    <row r="219" spans="1:7" ht="11.25" customHeight="1" thickBot="1" x14ac:dyDescent="0.25">
      <c r="A219" s="16" t="s">
        <v>56</v>
      </c>
      <c r="B219" s="17" t="s">
        <v>54</v>
      </c>
      <c r="C219" s="289">
        <v>8.3333333333333329E-2</v>
      </c>
      <c r="D219" s="88">
        <v>50</v>
      </c>
      <c r="E219" s="18">
        <f>C219*D219</f>
        <v>4.1666666666666661</v>
      </c>
      <c r="F219" s="53"/>
      <c r="G219" s="9"/>
    </row>
    <row r="220" spans="1:7" ht="13.5" thickBot="1" x14ac:dyDescent="0.25">
      <c r="A220" s="34"/>
      <c r="B220" s="34"/>
      <c r="C220" s="34"/>
      <c r="D220" s="34"/>
      <c r="E220" s="35"/>
      <c r="F220" s="21">
        <f>SUM(E215:E219)</f>
        <v>37.083333333333329</v>
      </c>
      <c r="G220" s="9"/>
    </row>
    <row r="221" spans="1:7" ht="11.25" customHeight="1" thickBot="1" x14ac:dyDescent="0.25">
      <c r="G221" s="9"/>
    </row>
    <row r="222" spans="1:7" ht="13.5" thickBot="1" x14ac:dyDescent="0.25">
      <c r="A222" s="24" t="s">
        <v>233</v>
      </c>
      <c r="B222" s="25"/>
      <c r="C222" s="25"/>
      <c r="D222" s="26"/>
      <c r="E222" s="27"/>
      <c r="F222" s="21">
        <f>+F220</f>
        <v>37.083333333333329</v>
      </c>
    </row>
    <row r="223" spans="1:7" ht="11.25" customHeight="1" x14ac:dyDescent="0.2"/>
    <row r="224" spans="1:7" x14ac:dyDescent="0.2">
      <c r="A224" s="34" t="s">
        <v>72</v>
      </c>
      <c r="B224" s="34"/>
      <c r="C224" s="34"/>
      <c r="D224" s="35"/>
      <c r="E224" s="35"/>
      <c r="F224" s="33"/>
    </row>
    <row r="225" spans="1:7" ht="13.5" thickBot="1" x14ac:dyDescent="0.25"/>
    <row r="226" spans="1:7" ht="13.5" thickBot="1" x14ac:dyDescent="0.25">
      <c r="A226" s="58" t="s">
        <v>59</v>
      </c>
      <c r="B226" s="59" t="s">
        <v>60</v>
      </c>
      <c r="C226" s="59" t="s">
        <v>36</v>
      </c>
      <c r="D226" s="60" t="s">
        <v>245</v>
      </c>
      <c r="E226" s="60" t="s">
        <v>61</v>
      </c>
      <c r="F226" s="61" t="s">
        <v>62</v>
      </c>
    </row>
    <row r="227" spans="1:7" x14ac:dyDescent="0.2">
      <c r="A227" s="16" t="s">
        <v>230</v>
      </c>
      <c r="B227" s="51" t="s">
        <v>54</v>
      </c>
      <c r="C227" s="66">
        <f>C134</f>
        <v>1</v>
      </c>
      <c r="D227" s="80">
        <v>50</v>
      </c>
      <c r="E227" s="18">
        <f>+D227*C227</f>
        <v>50</v>
      </c>
      <c r="F227" s="53"/>
    </row>
    <row r="228" spans="1:7" x14ac:dyDescent="0.2">
      <c r="A228" s="16" t="s">
        <v>57</v>
      </c>
      <c r="B228" s="51" t="s">
        <v>6</v>
      </c>
      <c r="C228" s="133">
        <v>60</v>
      </c>
      <c r="D228" s="290">
        <f>SUM(E227:E227)</f>
        <v>50</v>
      </c>
      <c r="E228" s="77">
        <f>+D228/C228</f>
        <v>0.83333333333333337</v>
      </c>
      <c r="F228" s="53"/>
    </row>
    <row r="229" spans="1:7" x14ac:dyDescent="0.2">
      <c r="A229" s="16" t="s">
        <v>231</v>
      </c>
      <c r="B229" s="17" t="s">
        <v>7</v>
      </c>
      <c r="C229" s="66">
        <f>+C227</f>
        <v>1</v>
      </c>
      <c r="D229" s="80">
        <v>59</v>
      </c>
      <c r="E229" s="18">
        <f>C229*D229</f>
        <v>59</v>
      </c>
      <c r="F229" s="53"/>
    </row>
    <row r="230" spans="1:7" s="49" customFormat="1" ht="11.25" customHeight="1" thickBot="1" x14ac:dyDescent="0.25">
      <c r="A230" s="16" t="s">
        <v>33</v>
      </c>
      <c r="B230" s="51" t="s">
        <v>6</v>
      </c>
      <c r="C230" s="133">
        <v>1</v>
      </c>
      <c r="D230" s="77">
        <f>+E229</f>
        <v>59</v>
      </c>
      <c r="E230" s="77">
        <f>+D230/C230</f>
        <v>59</v>
      </c>
      <c r="F230" s="53"/>
      <c r="G230" s="81"/>
    </row>
    <row r="231" spans="1:7" ht="13.5" thickBot="1" x14ac:dyDescent="0.25">
      <c r="A231" s="78"/>
      <c r="B231" s="78"/>
      <c r="C231" s="78"/>
      <c r="D231" s="104" t="s">
        <v>192</v>
      </c>
      <c r="E231" s="48">
        <v>1</v>
      </c>
      <c r="F231" s="79">
        <f>(E228+E230)*E231</f>
        <v>59.833333333333336</v>
      </c>
    </row>
    <row r="232" spans="1:7" ht="11.25" customHeight="1" thickBot="1" x14ac:dyDescent="0.25"/>
    <row r="233" spans="1:7" ht="17.25" customHeight="1" thickBot="1" x14ac:dyDescent="0.25">
      <c r="A233" s="24" t="s">
        <v>229</v>
      </c>
      <c r="B233" s="25"/>
      <c r="C233" s="25"/>
      <c r="D233" s="26"/>
      <c r="E233" s="27"/>
      <c r="F233" s="21">
        <f>+F231</f>
        <v>59.833333333333336</v>
      </c>
    </row>
    <row r="234" spans="1:7" ht="11.25" customHeight="1" thickBot="1" x14ac:dyDescent="0.25"/>
    <row r="235" spans="1:7" ht="13.5" thickBot="1" x14ac:dyDescent="0.25">
      <c r="A235" s="24" t="s">
        <v>234</v>
      </c>
      <c r="B235" s="28"/>
      <c r="C235" s="28"/>
      <c r="D235" s="29"/>
      <c r="E235" s="30"/>
      <c r="F235" s="22">
        <f>+F92+F126+F210+F222+F233</f>
        <v>26348.346647733331</v>
      </c>
    </row>
    <row r="236" spans="1:7" ht="11.25" customHeight="1" x14ac:dyDescent="0.2"/>
    <row r="237" spans="1:7" x14ac:dyDescent="0.2">
      <c r="A237" s="11" t="s">
        <v>87</v>
      </c>
    </row>
    <row r="238" spans="1:7" ht="13.5" thickBot="1" x14ac:dyDescent="0.25"/>
    <row r="239" spans="1:7" ht="13.5" thickBot="1" x14ac:dyDescent="0.25">
      <c r="A239" s="58" t="s">
        <v>59</v>
      </c>
      <c r="B239" s="59" t="s">
        <v>60</v>
      </c>
      <c r="C239" s="59" t="s">
        <v>36</v>
      </c>
      <c r="D239" s="60" t="s">
        <v>245</v>
      </c>
      <c r="E239" s="60" t="s">
        <v>61</v>
      </c>
      <c r="F239" s="61" t="s">
        <v>62</v>
      </c>
    </row>
    <row r="240" spans="1:7" ht="11.25" customHeight="1" thickBot="1" x14ac:dyDescent="0.25">
      <c r="A240" s="13" t="s">
        <v>32</v>
      </c>
      <c r="B240" s="14" t="s">
        <v>1</v>
      </c>
      <c r="C240" s="80">
        <f>'4.BDI'!C19*100</f>
        <v>28.98</v>
      </c>
      <c r="D240" s="15">
        <f>+F235</f>
        <v>26348.346647733331</v>
      </c>
      <c r="E240" s="15">
        <f>C240*D240/100</f>
        <v>7635.7508585131191</v>
      </c>
    </row>
    <row r="241" spans="1:7" ht="13.5" thickBot="1" x14ac:dyDescent="0.25">
      <c r="F241" s="21">
        <f>+E240</f>
        <v>7635.7508585131191</v>
      </c>
    </row>
    <row r="242" spans="1:7" ht="13.5" thickBot="1" x14ac:dyDescent="0.25"/>
    <row r="243" spans="1:7" ht="11.25" customHeight="1" thickBot="1" x14ac:dyDescent="0.25">
      <c r="A243" s="24" t="s">
        <v>250</v>
      </c>
      <c r="B243" s="28"/>
      <c r="C243" s="28"/>
      <c r="D243" s="29"/>
      <c r="E243" s="30"/>
      <c r="F243" s="22">
        <f>F241</f>
        <v>7635.7508585131191</v>
      </c>
    </row>
    <row r="244" spans="1:7" ht="24.75" customHeight="1" x14ac:dyDescent="0.2">
      <c r="A244" s="34"/>
      <c r="B244" s="34"/>
      <c r="C244" s="34"/>
      <c r="D244" s="35"/>
      <c r="E244" s="35"/>
      <c r="F244" s="33"/>
    </row>
    <row r="245" spans="1:7" ht="12.6" customHeight="1" thickBot="1" x14ac:dyDescent="0.25"/>
    <row r="246" spans="1:7" ht="13.5" thickBot="1" x14ac:dyDescent="0.25">
      <c r="A246" s="24" t="s">
        <v>235</v>
      </c>
      <c r="B246" s="28"/>
      <c r="C246" s="28"/>
      <c r="D246" s="29"/>
      <c r="E246" s="30"/>
      <c r="F246" s="22">
        <f>F235+F243</f>
        <v>33984.097506246449</v>
      </c>
    </row>
    <row r="247" spans="1:7" ht="16.149999999999999" customHeight="1" x14ac:dyDescent="0.2">
      <c r="A247" s="54"/>
      <c r="B247" s="54"/>
      <c r="C247" s="54"/>
      <c r="D247" s="55"/>
      <c r="E247" s="55"/>
      <c r="F247" s="55"/>
    </row>
    <row r="248" spans="1:7" ht="14.25" x14ac:dyDescent="0.2">
      <c r="A248" s="8"/>
      <c r="B248" s="8"/>
      <c r="C248" s="8"/>
      <c r="D248" s="36"/>
      <c r="E248" s="36"/>
    </row>
    <row r="249" spans="1:7" ht="25.5" customHeight="1" x14ac:dyDescent="0.2">
      <c r="A249" s="222" t="s">
        <v>228</v>
      </c>
      <c r="B249" s="223"/>
      <c r="C249" s="223"/>
      <c r="D249" s="291">
        <v>0</v>
      </c>
      <c r="E249" s="224"/>
    </row>
    <row r="250" spans="1:7" ht="12.6" customHeight="1" thickBot="1" x14ac:dyDescent="0.25"/>
    <row r="251" spans="1:7" s="4" customFormat="1" ht="26.25" customHeight="1" thickBot="1" x14ac:dyDescent="0.25">
      <c r="A251" s="24" t="s">
        <v>66</v>
      </c>
      <c r="B251" s="25"/>
      <c r="C251" s="25"/>
      <c r="D251" s="26"/>
      <c r="E251" s="225" t="s">
        <v>30</v>
      </c>
      <c r="F251" s="21" t="str">
        <f>IFERROR(F246/D249,"-")</f>
        <v>-</v>
      </c>
      <c r="G251" s="6"/>
    </row>
    <row r="252" spans="1:7" s="4" customFormat="1" ht="18" customHeight="1" x14ac:dyDescent="0.2">
      <c r="A252" s="34"/>
      <c r="B252" s="34"/>
      <c r="C252" s="34"/>
      <c r="D252" s="35"/>
      <c r="E252" s="35"/>
      <c r="F252" s="35"/>
      <c r="G252" s="6"/>
    </row>
    <row r="253" spans="1:7" s="4" customFormat="1" ht="15" customHeight="1" x14ac:dyDescent="0.2">
      <c r="A253" s="334"/>
      <c r="B253" s="334"/>
      <c r="C253" s="334"/>
      <c r="D253" s="334"/>
      <c r="E253" s="334"/>
      <c r="F253" s="334"/>
      <c r="G253" s="6"/>
    </row>
    <row r="254" spans="1:7" ht="15.75" customHeight="1" x14ac:dyDescent="0.2">
      <c r="A254" s="316"/>
      <c r="B254" s="316"/>
      <c r="C254" s="316"/>
      <c r="D254" s="317"/>
      <c r="E254" s="317"/>
      <c r="F254" s="317"/>
    </row>
    <row r="255" spans="1:7" ht="15.75" customHeight="1" x14ac:dyDescent="0.2">
      <c r="A255" s="334" t="s">
        <v>282</v>
      </c>
      <c r="B255" s="334"/>
      <c r="C255" s="334"/>
      <c r="D255" s="334"/>
      <c r="E255" s="334"/>
      <c r="F255" s="334"/>
    </row>
    <row r="256" spans="1:7" x14ac:dyDescent="0.2">
      <c r="A256" s="334" t="s">
        <v>303</v>
      </c>
      <c r="B256" s="334"/>
      <c r="C256" s="334"/>
      <c r="D256" s="334"/>
      <c r="E256" s="334"/>
      <c r="F256" s="334"/>
    </row>
    <row r="257" spans="1:6" x14ac:dyDescent="0.2">
      <c r="A257" s="333" t="s">
        <v>291</v>
      </c>
      <c r="B257" s="333"/>
      <c r="C257" s="333"/>
      <c r="D257" s="333"/>
      <c r="E257" s="333"/>
      <c r="F257" s="333"/>
    </row>
    <row r="258" spans="1:6" x14ac:dyDescent="0.2">
      <c r="A258" s="333" t="s">
        <v>283</v>
      </c>
      <c r="B258" s="333"/>
      <c r="C258" s="333"/>
      <c r="D258" s="333"/>
      <c r="E258" s="333"/>
      <c r="F258" s="333"/>
    </row>
    <row r="259" spans="1:6" x14ac:dyDescent="0.2">
      <c r="A259" s="333" t="s">
        <v>304</v>
      </c>
      <c r="B259" s="333"/>
      <c r="C259" s="333"/>
      <c r="D259" s="333"/>
      <c r="E259" s="333"/>
      <c r="F259" s="333"/>
    </row>
    <row r="260" spans="1:6" x14ac:dyDescent="0.2">
      <c r="A260" s="333" t="s">
        <v>284</v>
      </c>
      <c r="B260" s="333"/>
      <c r="C260" s="333"/>
      <c r="D260" s="333"/>
      <c r="E260" s="333"/>
      <c r="F260" s="333"/>
    </row>
    <row r="261" spans="1:6" ht="33" customHeight="1" x14ac:dyDescent="0.2">
      <c r="A261" s="333" t="s">
        <v>285</v>
      </c>
      <c r="B261" s="333"/>
      <c r="C261" s="333"/>
      <c r="D261" s="333"/>
      <c r="E261" s="333"/>
      <c r="F261" s="333"/>
    </row>
    <row r="262" spans="1:6" x14ac:dyDescent="0.2">
      <c r="A262" s="334" t="s">
        <v>286</v>
      </c>
      <c r="B262" s="334"/>
      <c r="C262" s="334"/>
      <c r="D262" s="334"/>
      <c r="E262" s="334"/>
      <c r="F262" s="334"/>
    </row>
    <row r="263" spans="1:6" ht="27" customHeight="1" x14ac:dyDescent="0.2">
      <c r="A263" s="334" t="s">
        <v>287</v>
      </c>
      <c r="B263" s="334"/>
      <c r="C263" s="334"/>
      <c r="D263" s="334"/>
      <c r="E263" s="334"/>
      <c r="F263" s="334"/>
    </row>
    <row r="264" spans="1:6" ht="20.25" customHeight="1" x14ac:dyDescent="0.2">
      <c r="A264" s="334" t="s">
        <v>288</v>
      </c>
      <c r="B264" s="334"/>
      <c r="C264" s="334"/>
      <c r="D264" s="334"/>
      <c r="E264" s="334"/>
      <c r="F264" s="334"/>
    </row>
    <row r="265" spans="1:6" ht="27.75" customHeight="1" x14ac:dyDescent="0.2">
      <c r="A265" s="335" t="s">
        <v>292</v>
      </c>
      <c r="B265" s="335"/>
      <c r="C265" s="335"/>
      <c r="D265" s="335"/>
      <c r="E265" s="335"/>
      <c r="F265" s="335"/>
    </row>
    <row r="266" spans="1:6" ht="20.25" customHeight="1" x14ac:dyDescent="0.2">
      <c r="A266" s="334" t="s">
        <v>289</v>
      </c>
      <c r="B266" s="334"/>
      <c r="C266" s="334"/>
      <c r="D266" s="334"/>
      <c r="E266" s="334"/>
      <c r="F266" s="334"/>
    </row>
    <row r="267" spans="1:6" ht="20.25" customHeight="1" x14ac:dyDescent="0.2">
      <c r="A267" s="333" t="s">
        <v>293</v>
      </c>
      <c r="B267" s="333"/>
      <c r="C267" s="333"/>
      <c r="D267" s="333"/>
      <c r="E267" s="333"/>
      <c r="F267" s="333"/>
    </row>
    <row r="268" spans="1:6" x14ac:dyDescent="0.2">
      <c r="A268" s="323" t="s">
        <v>305</v>
      </c>
      <c r="B268" s="324"/>
      <c r="C268" s="324"/>
      <c r="D268" s="324"/>
      <c r="E268" s="324"/>
      <c r="F268" s="324"/>
    </row>
    <row r="280" spans="4:7" ht="9" customHeight="1" x14ac:dyDescent="0.2">
      <c r="G280" s="9"/>
    </row>
    <row r="282" spans="4:7" x14ac:dyDescent="0.2">
      <c r="D282" s="9"/>
      <c r="E282" s="9"/>
      <c r="F282" s="9"/>
    </row>
  </sheetData>
  <mergeCells count="25">
    <mergeCell ref="A261:F261"/>
    <mergeCell ref="A262:F262"/>
    <mergeCell ref="A263:F263"/>
    <mergeCell ref="A253:F253"/>
    <mergeCell ref="A8:F8"/>
    <mergeCell ref="A9:F9"/>
    <mergeCell ref="A34:D34"/>
    <mergeCell ref="A11:F11"/>
    <mergeCell ref="A33:E33"/>
    <mergeCell ref="A268:F268"/>
    <mergeCell ref="D42:E42"/>
    <mergeCell ref="A39:D39"/>
    <mergeCell ref="A18:C18"/>
    <mergeCell ref="B42:C42"/>
    <mergeCell ref="A267:F267"/>
    <mergeCell ref="A264:F264"/>
    <mergeCell ref="A265:F265"/>
    <mergeCell ref="A255:F255"/>
    <mergeCell ref="A256:F256"/>
    <mergeCell ref="A257:F257"/>
    <mergeCell ref="A258:F258"/>
    <mergeCell ref="A82:D82"/>
    <mergeCell ref="A266:F266"/>
    <mergeCell ref="A259:F259"/>
    <mergeCell ref="A260:F260"/>
  </mergeCells>
  <phoneticPr fontId="9" type="noConversion"/>
  <hyperlinks>
    <hyperlink ref="A148" location="AbaRemun" display="3.1.2. Remuneração do Capital"/>
    <hyperlink ref="A132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3" verticalDpi="4294967293" r:id="rId1"/>
  <headerFooter alignWithMargins="0">
    <oddFooter>&amp;R&amp;P de &amp;N</oddFooter>
  </headerFooter>
  <rowBreaks count="4" manualBreakCount="4">
    <brk id="45" max="5" man="1"/>
    <brk id="112" max="5" man="1"/>
    <brk id="171" max="5" man="1"/>
    <brk id="236" max="5" man="1"/>
  </rowBreaks>
  <colBreaks count="1" manualBreakCount="1">
    <brk id="3" max="26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B33" sqref="B33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35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20"/>
    </row>
    <row r="3" spans="1:12" ht="13.5" thickBot="1" x14ac:dyDescent="0.25"/>
    <row r="4" spans="1:12" ht="18" x14ac:dyDescent="0.2">
      <c r="A4" s="351" t="s">
        <v>238</v>
      </c>
      <c r="B4" s="352"/>
      <c r="C4" s="353"/>
      <c r="D4" s="128"/>
      <c r="E4" s="128"/>
      <c r="F4" s="128"/>
    </row>
    <row r="5" spans="1:12" ht="14.25" x14ac:dyDescent="0.2">
      <c r="A5" s="147" t="s">
        <v>136</v>
      </c>
      <c r="B5" s="148" t="s">
        <v>137</v>
      </c>
      <c r="C5" s="149" t="s">
        <v>138</v>
      </c>
      <c r="D5" s="150"/>
    </row>
    <row r="6" spans="1:12" ht="14.25" x14ac:dyDescent="0.2">
      <c r="A6" s="147" t="s">
        <v>139</v>
      </c>
      <c r="B6" s="148" t="s">
        <v>37</v>
      </c>
      <c r="C6" s="151">
        <v>0.2</v>
      </c>
      <c r="D6" s="150"/>
      <c r="F6" s="135"/>
      <c r="G6" s="135"/>
      <c r="H6" s="135"/>
      <c r="I6" s="135"/>
      <c r="J6" s="135"/>
      <c r="K6" s="135"/>
      <c r="L6" s="135"/>
    </row>
    <row r="7" spans="1:12" ht="14.25" x14ac:dyDescent="0.2">
      <c r="A7" s="147" t="s">
        <v>140</v>
      </c>
      <c r="B7" s="148" t="s">
        <v>141</v>
      </c>
      <c r="C7" s="151">
        <v>1.4999999999999999E-2</v>
      </c>
      <c r="D7" s="150"/>
      <c r="F7" s="135"/>
      <c r="G7" s="135"/>
      <c r="H7" s="135"/>
      <c r="I7" s="135"/>
      <c r="J7" s="135"/>
      <c r="K7" s="135"/>
      <c r="L7" s="135"/>
    </row>
    <row r="8" spans="1:12" ht="14.25" x14ac:dyDescent="0.2">
      <c r="A8" s="147" t="s">
        <v>142</v>
      </c>
      <c r="B8" s="148" t="s">
        <v>143</v>
      </c>
      <c r="C8" s="151">
        <v>0.01</v>
      </c>
      <c r="D8" s="150"/>
      <c r="F8" s="135"/>
      <c r="G8" s="135"/>
      <c r="H8" s="135"/>
      <c r="I8" s="135"/>
      <c r="J8" s="135"/>
      <c r="K8" s="135"/>
      <c r="L8" s="135"/>
    </row>
    <row r="9" spans="1:12" ht="14.25" x14ac:dyDescent="0.2">
      <c r="A9" s="147" t="s">
        <v>144</v>
      </c>
      <c r="B9" s="148" t="s">
        <v>145</v>
      </c>
      <c r="C9" s="151">
        <v>2E-3</v>
      </c>
      <c r="D9" s="150"/>
      <c r="F9" s="135"/>
      <c r="G9" s="135"/>
      <c r="H9" s="135"/>
      <c r="I9" s="135"/>
      <c r="J9" s="135"/>
      <c r="K9" s="135"/>
      <c r="L9" s="135"/>
    </row>
    <row r="10" spans="1:12" ht="14.25" x14ac:dyDescent="0.2">
      <c r="A10" s="147" t="s">
        <v>146</v>
      </c>
      <c r="B10" s="148" t="s">
        <v>147</v>
      </c>
      <c r="C10" s="151">
        <v>6.0000000000000001E-3</v>
      </c>
      <c r="D10" s="150"/>
      <c r="F10" s="135"/>
      <c r="G10" s="135"/>
      <c r="H10" s="135"/>
      <c r="I10" s="135"/>
      <c r="J10" s="135"/>
      <c r="K10" s="135"/>
      <c r="L10" s="135"/>
    </row>
    <row r="11" spans="1:12" ht="14.25" x14ac:dyDescent="0.2">
      <c r="A11" s="147" t="s">
        <v>148</v>
      </c>
      <c r="B11" s="148" t="s">
        <v>149</v>
      </c>
      <c r="C11" s="151">
        <v>2.5000000000000001E-2</v>
      </c>
      <c r="D11" s="150"/>
      <c r="F11" s="135"/>
      <c r="G11" s="135"/>
      <c r="H11" s="135"/>
      <c r="I11" s="135"/>
      <c r="J11" s="135"/>
      <c r="K11" s="135"/>
      <c r="L11" s="135"/>
    </row>
    <row r="12" spans="1:12" ht="14.25" x14ac:dyDescent="0.2">
      <c r="A12" s="147" t="s">
        <v>150</v>
      </c>
      <c r="B12" s="148" t="s">
        <v>151</v>
      </c>
      <c r="C12" s="151">
        <v>0.03</v>
      </c>
      <c r="D12" s="150"/>
      <c r="F12" s="135"/>
      <c r="G12" s="135"/>
      <c r="H12" s="135"/>
      <c r="I12" s="135"/>
      <c r="J12" s="135"/>
      <c r="K12" s="135"/>
      <c r="L12" s="135"/>
    </row>
    <row r="13" spans="1:12" ht="14.25" x14ac:dyDescent="0.2">
      <c r="A13" s="147" t="s">
        <v>152</v>
      </c>
      <c r="B13" s="148" t="s">
        <v>38</v>
      </c>
      <c r="C13" s="151">
        <v>0.08</v>
      </c>
      <c r="D13" s="152"/>
      <c r="F13" s="135"/>
      <c r="G13" s="135"/>
      <c r="H13" s="135"/>
      <c r="I13" s="135"/>
      <c r="J13" s="135"/>
      <c r="K13" s="135"/>
      <c r="L13" s="135"/>
    </row>
    <row r="14" spans="1:12" ht="15" x14ac:dyDescent="0.2">
      <c r="A14" s="147" t="s">
        <v>153</v>
      </c>
      <c r="B14" s="153" t="s">
        <v>154</v>
      </c>
      <c r="C14" s="154">
        <f>SUM(C6:C13)</f>
        <v>0.36800000000000005</v>
      </c>
      <c r="D14" s="152"/>
      <c r="F14" s="135"/>
      <c r="G14" s="135"/>
      <c r="H14" s="135"/>
      <c r="I14" s="135"/>
      <c r="J14" s="135"/>
      <c r="K14" s="135"/>
      <c r="L14" s="135"/>
    </row>
    <row r="15" spans="1:12" ht="15" x14ac:dyDescent="0.2">
      <c r="A15" s="155"/>
      <c r="B15" s="156"/>
      <c r="C15" s="157"/>
      <c r="D15" s="152"/>
      <c r="F15" s="135"/>
      <c r="G15" s="135"/>
      <c r="H15" s="135"/>
      <c r="I15" s="135"/>
      <c r="J15" s="135"/>
      <c r="K15" s="135"/>
      <c r="L15" s="135"/>
    </row>
    <row r="16" spans="1:12" ht="14.25" x14ac:dyDescent="0.2">
      <c r="A16" s="147" t="s">
        <v>155</v>
      </c>
      <c r="B16" s="158" t="s">
        <v>156</v>
      </c>
      <c r="C16" s="151">
        <f>ROUND(IF('3.CAGED'!C39&gt;24,(1-12/'3.CAGED'!C39)*0.1111,0.1111-C25),4)</f>
        <v>5.74E-2</v>
      </c>
      <c r="D16" s="152"/>
      <c r="F16" s="135"/>
      <c r="G16" s="135"/>
      <c r="H16" s="135"/>
      <c r="I16" s="135"/>
      <c r="J16" s="135"/>
      <c r="K16" s="135"/>
      <c r="L16" s="135"/>
    </row>
    <row r="17" spans="1:12" ht="14.25" x14ac:dyDescent="0.2">
      <c r="A17" s="147" t="s">
        <v>157</v>
      </c>
      <c r="B17" s="158" t="s">
        <v>158</v>
      </c>
      <c r="C17" s="151">
        <f>ROUND('3.CAGED'!C33/'3.CAGED'!C30,4)</f>
        <v>8.3299999999999999E-2</v>
      </c>
      <c r="D17" s="152"/>
      <c r="F17" s="135"/>
      <c r="G17" s="135"/>
      <c r="H17" s="135"/>
      <c r="I17" s="135"/>
      <c r="J17" s="135"/>
      <c r="K17" s="135"/>
      <c r="L17" s="135"/>
    </row>
    <row r="18" spans="1:12" ht="14.25" x14ac:dyDescent="0.2">
      <c r="A18" s="147" t="s">
        <v>226</v>
      </c>
      <c r="B18" s="158" t="s">
        <v>160</v>
      </c>
      <c r="C18" s="151">
        <v>5.9999999999999995E-4</v>
      </c>
      <c r="D18" s="152"/>
      <c r="F18" s="135"/>
      <c r="G18" s="135"/>
      <c r="H18" s="135"/>
      <c r="I18" s="135"/>
      <c r="J18" s="135"/>
      <c r="K18" s="135"/>
      <c r="L18" s="135"/>
    </row>
    <row r="19" spans="1:12" ht="14.25" x14ac:dyDescent="0.2">
      <c r="A19" s="147" t="s">
        <v>159</v>
      </c>
      <c r="B19" s="158" t="s">
        <v>162</v>
      </c>
      <c r="C19" s="151">
        <v>8.2000000000000007E-3</v>
      </c>
      <c r="D19" s="152"/>
      <c r="F19" s="135"/>
      <c r="G19" s="135"/>
      <c r="H19" s="135"/>
      <c r="I19" s="135"/>
      <c r="J19" s="135"/>
      <c r="K19" s="135"/>
      <c r="L19" s="135"/>
    </row>
    <row r="20" spans="1:12" ht="14.25" x14ac:dyDescent="0.2">
      <c r="A20" s="147" t="s">
        <v>161</v>
      </c>
      <c r="B20" s="158" t="s">
        <v>164</v>
      </c>
      <c r="C20" s="151">
        <v>3.0999999999999999E-3</v>
      </c>
      <c r="D20" s="152"/>
      <c r="F20" s="135"/>
      <c r="G20" s="135"/>
      <c r="H20" s="135"/>
      <c r="I20" s="135"/>
      <c r="J20" s="135"/>
      <c r="K20" s="135"/>
      <c r="L20" s="135"/>
    </row>
    <row r="21" spans="1:12" ht="14.25" x14ac:dyDescent="0.2">
      <c r="A21" s="147" t="s">
        <v>163</v>
      </c>
      <c r="B21" s="158" t="s">
        <v>165</v>
      </c>
      <c r="C21" s="151">
        <v>1.66E-2</v>
      </c>
      <c r="D21" s="152"/>
      <c r="F21" s="135"/>
      <c r="G21" s="135"/>
      <c r="H21" s="135"/>
      <c r="I21" s="135"/>
      <c r="J21" s="135"/>
      <c r="K21" s="135"/>
      <c r="L21" s="135"/>
    </row>
    <row r="22" spans="1:12" ht="15" x14ac:dyDescent="0.2">
      <c r="A22" s="147" t="s">
        <v>166</v>
      </c>
      <c r="B22" s="153" t="s">
        <v>167</v>
      </c>
      <c r="C22" s="154">
        <f>SUM(C16:C21)</f>
        <v>0.16919999999999999</v>
      </c>
      <c r="D22" s="159"/>
      <c r="F22" s="135"/>
      <c r="G22" s="135"/>
      <c r="H22" s="135"/>
      <c r="I22" s="135"/>
      <c r="J22" s="135"/>
      <c r="K22" s="135"/>
      <c r="L22" s="135"/>
    </row>
    <row r="23" spans="1:12" ht="15" x14ac:dyDescent="0.2">
      <c r="A23" s="155"/>
      <c r="B23" s="156"/>
      <c r="C23" s="157"/>
      <c r="D23" s="159"/>
      <c r="F23" s="135"/>
      <c r="G23" s="135"/>
      <c r="H23" s="135"/>
      <c r="I23" s="135"/>
      <c r="J23" s="135"/>
      <c r="K23" s="135"/>
      <c r="L23" s="135"/>
    </row>
    <row r="24" spans="1:12" ht="14.25" x14ac:dyDescent="0.2">
      <c r="A24" s="147" t="s">
        <v>168</v>
      </c>
      <c r="B24" s="148" t="s">
        <v>169</v>
      </c>
      <c r="C24" s="151">
        <f>ROUND(('3.CAGED'!C38) *'3.CAGED'!C29/'3.CAGED'!C30,4)</f>
        <v>3.9E-2</v>
      </c>
      <c r="D24" s="152"/>
      <c r="E24" s="160"/>
      <c r="F24" s="135"/>
      <c r="G24" s="135"/>
      <c r="H24" s="135"/>
      <c r="I24" s="135"/>
      <c r="J24" s="135"/>
      <c r="K24" s="135"/>
      <c r="L24" s="135"/>
    </row>
    <row r="25" spans="1:12" ht="14.25" x14ac:dyDescent="0.2">
      <c r="A25" s="147" t="s">
        <v>225</v>
      </c>
      <c r="B25" s="148" t="s">
        <v>171</v>
      </c>
      <c r="C25" s="151">
        <f>ROUND(IF('3.CAGED'!C39&gt;12,12/'3.CAGED'!C39*0.1111,0.1111),4)</f>
        <v>5.3699999999999998E-2</v>
      </c>
      <c r="D25" s="152"/>
      <c r="F25" s="135"/>
      <c r="G25" s="135"/>
      <c r="H25" s="161"/>
      <c r="I25" s="135"/>
      <c r="J25" s="135"/>
      <c r="K25" s="135"/>
      <c r="L25" s="135"/>
    </row>
    <row r="26" spans="1:12" ht="14.25" x14ac:dyDescent="0.2">
      <c r="A26" s="147" t="s">
        <v>170</v>
      </c>
      <c r="B26" s="148" t="s">
        <v>173</v>
      </c>
      <c r="C26" s="151">
        <f>ROUND(('3.CAGED'!C32+'3.CAGED'!C31)/360*C24,4)</f>
        <v>4.3E-3</v>
      </c>
      <c r="D26" s="152"/>
      <c r="F26" s="135"/>
      <c r="G26" s="135"/>
      <c r="H26" s="135"/>
      <c r="I26" s="135"/>
      <c r="J26" s="135"/>
      <c r="K26" s="135"/>
      <c r="L26" s="135"/>
    </row>
    <row r="27" spans="1:12" ht="14.25" x14ac:dyDescent="0.2">
      <c r="A27" s="147" t="s">
        <v>172</v>
      </c>
      <c r="B27" s="148" t="s">
        <v>175</v>
      </c>
      <c r="C27" s="151">
        <f>ROUND(('3.CAGED'!C30+'3.CAGED'!C31+'3.CAGED'!C33)/'3.CAGED'!C28*'3.CAGED'!C35*'3.CAGED'!C36*'3.CAGED'!C29/'3.CAGED'!C30,4)</f>
        <v>3.5900000000000001E-2</v>
      </c>
      <c r="D27" s="152"/>
      <c r="F27" s="135"/>
      <c r="G27" s="162"/>
      <c r="H27" s="135"/>
      <c r="I27" s="135"/>
      <c r="J27" s="135"/>
      <c r="K27" s="135"/>
      <c r="L27" s="135"/>
    </row>
    <row r="28" spans="1:12" ht="14.25" x14ac:dyDescent="0.2">
      <c r="A28" s="147" t="s">
        <v>174</v>
      </c>
      <c r="B28" s="148" t="s">
        <v>176</v>
      </c>
      <c r="C28" s="151">
        <f>ROUND(('3.CAGED'!C32/'3.CAGED'!C30)*'3.CAGED'!C29/12,4)</f>
        <v>2.7000000000000001E-3</v>
      </c>
      <c r="D28" s="152"/>
      <c r="F28" s="135"/>
      <c r="G28" s="135"/>
      <c r="H28" s="135"/>
      <c r="I28" s="135"/>
      <c r="J28" s="135"/>
      <c r="K28" s="135"/>
      <c r="L28" s="135"/>
    </row>
    <row r="29" spans="1:12" ht="15" x14ac:dyDescent="0.2">
      <c r="A29" s="147" t="s">
        <v>177</v>
      </c>
      <c r="B29" s="153" t="s">
        <v>178</v>
      </c>
      <c r="C29" s="154">
        <f>SUM(C24:C28)</f>
        <v>0.13560000000000003</v>
      </c>
      <c r="D29" s="159"/>
      <c r="F29" s="135"/>
      <c r="G29" s="135"/>
      <c r="H29" s="135"/>
      <c r="I29" s="135"/>
      <c r="J29" s="135"/>
      <c r="K29" s="135"/>
      <c r="L29" s="135"/>
    </row>
    <row r="30" spans="1:12" ht="15" x14ac:dyDescent="0.2">
      <c r="A30" s="155"/>
      <c r="B30" s="156"/>
      <c r="C30" s="157"/>
      <c r="D30" s="159"/>
      <c r="F30" s="135"/>
      <c r="G30" s="135"/>
      <c r="H30" s="135"/>
      <c r="I30" s="135"/>
      <c r="J30" s="135"/>
      <c r="K30" s="135"/>
      <c r="L30" s="135"/>
    </row>
    <row r="31" spans="1:12" ht="14.25" x14ac:dyDescent="0.2">
      <c r="A31" s="147" t="s">
        <v>179</v>
      </c>
      <c r="B31" s="148" t="s">
        <v>180</v>
      </c>
      <c r="C31" s="151">
        <f>ROUND(C14*C22,4)</f>
        <v>6.2300000000000001E-2</v>
      </c>
      <c r="D31" s="152"/>
      <c r="F31" s="135"/>
      <c r="G31" s="135"/>
      <c r="H31" s="135"/>
      <c r="I31" s="135"/>
      <c r="J31" s="135"/>
      <c r="K31" s="135"/>
      <c r="L31" s="135"/>
    </row>
    <row r="32" spans="1:12" ht="28.5" x14ac:dyDescent="0.2">
      <c r="A32" s="147" t="s">
        <v>181</v>
      </c>
      <c r="B32" s="163" t="s">
        <v>182</v>
      </c>
      <c r="C32" s="151">
        <f>ROUND((C24*C14),4)</f>
        <v>1.44E-2</v>
      </c>
      <c r="D32" s="152"/>
      <c r="F32" s="135"/>
      <c r="G32" s="135"/>
      <c r="H32" s="135"/>
      <c r="I32" s="135"/>
      <c r="J32" s="135"/>
      <c r="K32" s="135"/>
      <c r="L32" s="135"/>
    </row>
    <row r="33" spans="1:12" ht="15" x14ac:dyDescent="0.2">
      <c r="A33" s="147" t="s">
        <v>183</v>
      </c>
      <c r="B33" s="153" t="s">
        <v>184</v>
      </c>
      <c r="C33" s="154">
        <f>SUM(C31:C32)</f>
        <v>7.6700000000000004E-2</v>
      </c>
      <c r="D33" s="164"/>
      <c r="F33" s="135"/>
      <c r="G33" s="135"/>
      <c r="H33" s="135"/>
      <c r="I33" s="135"/>
      <c r="J33" s="135"/>
      <c r="K33" s="135"/>
      <c r="L33" s="135"/>
    </row>
    <row r="34" spans="1:12" ht="15.75" thickBot="1" x14ac:dyDescent="0.25">
      <c r="A34" s="165"/>
      <c r="B34" s="166" t="s">
        <v>185</v>
      </c>
      <c r="C34" s="167">
        <f>C33+C29+C22+C14</f>
        <v>0.74950000000000006</v>
      </c>
      <c r="D34" s="164"/>
      <c r="F34" s="135"/>
      <c r="G34" s="135"/>
      <c r="H34" s="135"/>
      <c r="I34" s="135"/>
      <c r="J34" s="135"/>
      <c r="K34" s="135"/>
      <c r="L34" s="135"/>
    </row>
    <row r="35" spans="1:12" ht="15" x14ac:dyDescent="0.2">
      <c r="A35" s="152"/>
      <c r="B35" s="168"/>
      <c r="C35" s="169"/>
      <c r="D35" s="170"/>
      <c r="F35" s="135"/>
      <c r="G35" s="135"/>
      <c r="H35" s="135"/>
      <c r="I35" s="135"/>
      <c r="J35" s="135"/>
      <c r="K35" s="135"/>
      <c r="L35" s="135"/>
    </row>
    <row r="36" spans="1:12" ht="14.25" x14ac:dyDescent="0.2">
      <c r="A36" s="152"/>
      <c r="B36" s="152"/>
      <c r="C36" s="171"/>
      <c r="D36" s="172"/>
      <c r="F36" s="135"/>
      <c r="G36" s="135"/>
      <c r="H36" s="135"/>
      <c r="I36" s="135"/>
      <c r="J36" s="135"/>
      <c r="K36" s="135"/>
      <c r="L36" s="135"/>
    </row>
    <row r="37" spans="1:12" ht="14.25" x14ac:dyDescent="0.2">
      <c r="A37" s="150"/>
      <c r="B37" s="150"/>
      <c r="C37" s="173"/>
      <c r="D37" s="150"/>
      <c r="F37" s="135"/>
      <c r="G37" s="135"/>
      <c r="H37" s="135"/>
      <c r="I37" s="135"/>
      <c r="J37" s="135"/>
      <c r="K37" s="135"/>
      <c r="L37" s="135"/>
    </row>
    <row r="38" spans="1:12" ht="14.25" x14ac:dyDescent="0.2">
      <c r="A38" s="150"/>
      <c r="B38" s="150"/>
      <c r="C38" s="173"/>
      <c r="D38" s="150"/>
      <c r="F38" s="135"/>
      <c r="G38" s="135"/>
      <c r="H38" s="135"/>
      <c r="I38" s="135"/>
      <c r="J38" s="135"/>
      <c r="K38" s="135"/>
      <c r="L38" s="135"/>
    </row>
    <row r="39" spans="1:12" ht="14.25" x14ac:dyDescent="0.2">
      <c r="A39" s="150"/>
      <c r="B39" s="150"/>
      <c r="C39" s="173"/>
      <c r="D39" s="150"/>
      <c r="F39" s="135"/>
      <c r="G39" s="135"/>
      <c r="H39" s="135"/>
      <c r="I39" s="135"/>
      <c r="J39" s="135"/>
      <c r="K39" s="135"/>
      <c r="L39" s="135"/>
    </row>
    <row r="40" spans="1:12" ht="15" x14ac:dyDescent="0.2">
      <c r="A40" s="150"/>
      <c r="B40" s="174"/>
      <c r="C40" s="175"/>
      <c r="D40" s="150"/>
      <c r="F40" s="135"/>
      <c r="G40" s="135"/>
      <c r="H40" s="135"/>
      <c r="I40" s="135"/>
      <c r="J40" s="135"/>
      <c r="K40" s="135"/>
      <c r="L40" s="135"/>
    </row>
    <row r="41" spans="1:12" ht="15" x14ac:dyDescent="0.2">
      <c r="A41" s="164"/>
      <c r="B41" s="174"/>
      <c r="C41" s="175"/>
      <c r="D41" s="164"/>
      <c r="E41" s="135"/>
      <c r="F41" s="135"/>
      <c r="G41" s="135"/>
      <c r="H41" s="135"/>
      <c r="I41" s="135"/>
      <c r="J41" s="135"/>
      <c r="K41" s="135"/>
      <c r="L41" s="135"/>
    </row>
    <row r="42" spans="1:12" ht="16.5" x14ac:dyDescent="0.2">
      <c r="A42" s="176"/>
      <c r="B42" s="135"/>
      <c r="C42" s="135"/>
      <c r="E42" s="135"/>
      <c r="F42" s="135"/>
      <c r="G42" s="135"/>
      <c r="H42" s="135"/>
      <c r="I42" s="135"/>
      <c r="J42" s="135"/>
      <c r="K42" s="135"/>
      <c r="L42" s="135"/>
    </row>
    <row r="43" spans="1:12" x14ac:dyDescent="0.2">
      <c r="A43" s="177"/>
      <c r="B43" s="178"/>
      <c r="C43" s="178"/>
      <c r="E43" s="135"/>
      <c r="F43" s="135"/>
      <c r="G43" s="135"/>
      <c r="H43" s="135"/>
      <c r="I43" s="135"/>
      <c r="J43" s="135"/>
      <c r="K43" s="135"/>
      <c r="L43" s="135"/>
    </row>
    <row r="44" spans="1:12" ht="14.25" x14ac:dyDescent="0.2">
      <c r="A44" s="150"/>
      <c r="B44" s="179"/>
      <c r="C44" s="178"/>
      <c r="E44" s="135"/>
      <c r="F44" s="135"/>
      <c r="G44" s="135"/>
      <c r="H44" s="135"/>
      <c r="I44" s="135"/>
      <c r="J44" s="135"/>
      <c r="K44" s="135"/>
      <c r="L44" s="135"/>
    </row>
    <row r="45" spans="1:12" ht="14.25" x14ac:dyDescent="0.2">
      <c r="A45" s="150"/>
      <c r="B45" s="179"/>
      <c r="C45" s="150"/>
      <c r="E45" s="135"/>
      <c r="F45" s="135"/>
      <c r="G45" s="135"/>
      <c r="H45" s="135"/>
      <c r="I45" s="135"/>
      <c r="J45" s="135"/>
      <c r="K45" s="135"/>
      <c r="L45" s="135"/>
    </row>
    <row r="46" spans="1:12" ht="14.25" x14ac:dyDescent="0.2">
      <c r="A46" s="150"/>
      <c r="B46" s="173"/>
      <c r="C46" s="178"/>
      <c r="E46" s="135"/>
      <c r="F46" s="135"/>
      <c r="G46" s="135"/>
      <c r="H46" s="135"/>
      <c r="I46" s="135"/>
      <c r="J46" s="135"/>
      <c r="K46" s="135"/>
      <c r="L46" s="135"/>
    </row>
    <row r="47" spans="1:12" ht="14.25" x14ac:dyDescent="0.2">
      <c r="A47" s="150"/>
      <c r="B47" s="179"/>
      <c r="C47" s="150"/>
      <c r="E47" s="135"/>
      <c r="F47" s="135"/>
      <c r="G47" s="135"/>
      <c r="H47" s="135"/>
      <c r="I47" s="135"/>
      <c r="J47" s="135"/>
      <c r="K47" s="135"/>
      <c r="L47" s="135"/>
    </row>
    <row r="48" spans="1:12" ht="14.25" x14ac:dyDescent="0.2">
      <c r="A48" s="150"/>
      <c r="B48" s="173"/>
      <c r="C48" s="178"/>
      <c r="E48" s="135"/>
      <c r="F48" s="135"/>
      <c r="G48" s="135"/>
      <c r="H48" s="135"/>
      <c r="I48" s="135"/>
      <c r="J48" s="135"/>
      <c r="K48" s="135"/>
      <c r="L48" s="135"/>
    </row>
    <row r="49" spans="1:12" ht="14.25" x14ac:dyDescent="0.2">
      <c r="A49" s="150"/>
      <c r="B49" s="179"/>
      <c r="C49" s="150"/>
      <c r="E49" s="135"/>
      <c r="F49" s="135"/>
      <c r="G49" s="135"/>
      <c r="H49" s="135"/>
      <c r="I49" s="135"/>
      <c r="J49" s="135"/>
      <c r="K49" s="135"/>
      <c r="L49" s="135"/>
    </row>
    <row r="50" spans="1:12" ht="14.25" x14ac:dyDescent="0.2">
      <c r="A50" s="150"/>
      <c r="B50" s="173"/>
      <c r="C50" s="178"/>
      <c r="E50" s="135"/>
      <c r="F50" s="135"/>
      <c r="G50" s="135"/>
      <c r="H50" s="135"/>
      <c r="I50" s="135"/>
      <c r="J50" s="135"/>
      <c r="K50" s="135"/>
      <c r="L50" s="135"/>
    </row>
    <row r="51" spans="1:12" ht="14.25" x14ac:dyDescent="0.2">
      <c r="A51" s="150"/>
      <c r="B51" s="179"/>
      <c r="C51" s="150"/>
      <c r="E51" s="135"/>
      <c r="F51" s="135"/>
      <c r="G51" s="135"/>
      <c r="H51" s="135"/>
      <c r="I51" s="135"/>
      <c r="J51" s="135"/>
      <c r="K51" s="135"/>
      <c r="L51" s="135"/>
    </row>
    <row r="52" spans="1:12" ht="14.25" x14ac:dyDescent="0.2">
      <c r="A52" s="150"/>
      <c r="B52" s="173"/>
      <c r="C52" s="178"/>
      <c r="E52" s="135"/>
      <c r="F52" s="135"/>
      <c r="G52" s="135"/>
      <c r="H52" s="135"/>
      <c r="I52" s="135"/>
      <c r="J52" s="135"/>
      <c r="K52" s="135"/>
      <c r="L52" s="135"/>
    </row>
    <row r="53" spans="1:12" ht="16.5" x14ac:dyDescent="0.2">
      <c r="A53" s="176"/>
      <c r="B53" s="135"/>
      <c r="C53" s="135"/>
      <c r="E53" s="135"/>
      <c r="F53" s="135"/>
      <c r="G53" s="135"/>
      <c r="H53" s="135"/>
      <c r="I53" s="135"/>
      <c r="J53" s="135"/>
      <c r="K53" s="135"/>
      <c r="L53" s="135"/>
    </row>
    <row r="54" spans="1:12" x14ac:dyDescent="0.2">
      <c r="A54" s="135"/>
      <c r="B54" s="135"/>
      <c r="C54" s="135"/>
      <c r="E54" s="135"/>
      <c r="F54" s="135"/>
      <c r="G54" s="135"/>
      <c r="H54" s="135"/>
      <c r="I54" s="135"/>
      <c r="J54" s="135"/>
      <c r="K54" s="135"/>
      <c r="L54" s="135"/>
    </row>
    <row r="55" spans="1:12" x14ac:dyDescent="0.2">
      <c r="A55" s="135"/>
      <c r="B55" s="135"/>
      <c r="C55" s="135"/>
      <c r="E55" s="135"/>
      <c r="F55" s="135"/>
      <c r="G55" s="135"/>
      <c r="H55" s="135"/>
      <c r="I55" s="135"/>
      <c r="J55" s="135"/>
      <c r="K55" s="135"/>
      <c r="L55" s="135"/>
    </row>
    <row r="56" spans="1:12" x14ac:dyDescent="0.2">
      <c r="A56" s="180"/>
      <c r="B56" s="135"/>
      <c r="C56" s="135"/>
      <c r="E56" s="135"/>
      <c r="F56" s="135"/>
      <c r="G56" s="135"/>
      <c r="H56" s="135"/>
      <c r="I56" s="135"/>
      <c r="J56" s="135"/>
      <c r="K56" s="135"/>
      <c r="L56" s="135"/>
    </row>
    <row r="57" spans="1:12" x14ac:dyDescent="0.2">
      <c r="A57" s="135"/>
      <c r="B57" s="135"/>
      <c r="C57" s="135"/>
      <c r="E57" s="135"/>
    </row>
    <row r="58" spans="1:12" x14ac:dyDescent="0.2">
      <c r="A58" s="135"/>
      <c r="B58" s="135"/>
      <c r="C58" s="135"/>
      <c r="E58" s="135"/>
    </row>
    <row r="59" spans="1:12" x14ac:dyDescent="0.2">
      <c r="A59" s="135"/>
      <c r="B59" s="135"/>
      <c r="C59" s="135"/>
      <c r="E59" s="135"/>
    </row>
    <row r="60" spans="1:12" x14ac:dyDescent="0.2">
      <c r="A60" s="135"/>
      <c r="B60" s="135"/>
      <c r="C60" s="135"/>
      <c r="E60" s="135"/>
    </row>
    <row r="61" spans="1:12" x14ac:dyDescent="0.2">
      <c r="A61" s="135"/>
      <c r="B61" s="135"/>
      <c r="C61" s="135"/>
      <c r="E61" s="135"/>
    </row>
    <row r="62" spans="1:12" x14ac:dyDescent="0.2">
      <c r="A62" s="135"/>
      <c r="B62" s="135"/>
      <c r="C62" s="135"/>
      <c r="E62" s="135"/>
    </row>
    <row r="63" spans="1:12" x14ac:dyDescent="0.2">
      <c r="A63" s="135"/>
      <c r="B63" s="135"/>
      <c r="C63" s="135"/>
      <c r="E63" s="135"/>
    </row>
    <row r="64" spans="1:12" x14ac:dyDescent="0.2">
      <c r="A64" s="135"/>
      <c r="B64" s="135"/>
      <c r="C64" s="135"/>
      <c r="E64" s="135"/>
    </row>
    <row r="65" spans="1:5" x14ac:dyDescent="0.2">
      <c r="A65" s="135"/>
      <c r="B65" s="135"/>
      <c r="C65" s="135"/>
      <c r="E65" s="135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topLeftCell="A10" zoomScaleNormal="100" workbookViewId="0">
      <selection activeCell="T16" sqref="T16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90"/>
    </row>
    <row r="4" spans="1:3" x14ac:dyDescent="0.2">
      <c r="A4" s="251"/>
    </row>
    <row r="5" spans="1:3" ht="25.5" customHeight="1" x14ac:dyDescent="0.2">
      <c r="A5" s="357"/>
      <c r="B5" s="356"/>
      <c r="C5" s="356"/>
    </row>
    <row r="7" spans="1:3" ht="26.25" customHeight="1" x14ac:dyDescent="0.2">
      <c r="A7" s="356"/>
      <c r="B7" s="356"/>
      <c r="C7" s="356"/>
    </row>
    <row r="10" spans="1:3" ht="13.5" thickBot="1" x14ac:dyDescent="0.25"/>
    <row r="11" spans="1:3" ht="18" x14ac:dyDescent="0.25">
      <c r="B11" s="354" t="s">
        <v>236</v>
      </c>
      <c r="C11" s="355"/>
    </row>
    <row r="12" spans="1:3" ht="15" x14ac:dyDescent="0.25">
      <c r="A12" s="135"/>
      <c r="B12" s="134" t="s">
        <v>199</v>
      </c>
      <c r="C12" s="181"/>
    </row>
    <row r="13" spans="1:3" ht="15" x14ac:dyDescent="0.25">
      <c r="A13" s="135"/>
      <c r="B13" s="136" t="s">
        <v>117</v>
      </c>
      <c r="C13" s="293">
        <v>2486</v>
      </c>
    </row>
    <row r="14" spans="1:3" ht="15" x14ac:dyDescent="0.25">
      <c r="A14" s="135"/>
      <c r="B14" s="137" t="s">
        <v>118</v>
      </c>
      <c r="C14" s="293">
        <v>3303</v>
      </c>
    </row>
    <row r="15" spans="1:3" ht="14.25" x14ac:dyDescent="0.2">
      <c r="A15" s="135"/>
      <c r="B15" s="182" t="s">
        <v>119</v>
      </c>
      <c r="C15" s="294">
        <v>81</v>
      </c>
    </row>
    <row r="16" spans="1:3" ht="14.25" x14ac:dyDescent="0.2">
      <c r="A16" s="135"/>
      <c r="B16" s="182" t="s">
        <v>120</v>
      </c>
      <c r="C16" s="294">
        <v>2336</v>
      </c>
    </row>
    <row r="17" spans="1:7" ht="14.25" x14ac:dyDescent="0.2">
      <c r="A17" s="135"/>
      <c r="B17" s="182" t="s">
        <v>121</v>
      </c>
      <c r="C17" s="294">
        <v>342</v>
      </c>
    </row>
    <row r="18" spans="1:7" ht="14.25" x14ac:dyDescent="0.2">
      <c r="A18" s="135"/>
      <c r="B18" s="182" t="s">
        <v>122</v>
      </c>
      <c r="C18" s="294">
        <v>18</v>
      </c>
    </row>
    <row r="19" spans="1:7" ht="14.25" x14ac:dyDescent="0.2">
      <c r="A19" s="135"/>
      <c r="B19" s="182" t="s">
        <v>123</v>
      </c>
      <c r="C19" s="294">
        <v>500</v>
      </c>
    </row>
    <row r="20" spans="1:7" ht="14.25" x14ac:dyDescent="0.2">
      <c r="A20" s="135"/>
      <c r="B20" s="182" t="s">
        <v>124</v>
      </c>
      <c r="C20" s="294">
        <v>1</v>
      </c>
    </row>
    <row r="21" spans="1:7" ht="14.25" x14ac:dyDescent="0.2">
      <c r="A21" s="135"/>
      <c r="B21" s="182" t="s">
        <v>125</v>
      </c>
      <c r="C21" s="294">
        <v>25</v>
      </c>
    </row>
    <row r="22" spans="1:7" ht="14.25" x14ac:dyDescent="0.2">
      <c r="A22" s="135"/>
      <c r="B22" s="183" t="s">
        <v>126</v>
      </c>
      <c r="C22" s="295">
        <v>0</v>
      </c>
    </row>
    <row r="23" spans="1:7" ht="15" x14ac:dyDescent="0.25">
      <c r="A23" s="135" t="s">
        <v>127</v>
      </c>
      <c r="B23" s="134" t="s">
        <v>128</v>
      </c>
      <c r="C23" s="296"/>
    </row>
    <row r="24" spans="1:7" ht="14.25" x14ac:dyDescent="0.2">
      <c r="A24" s="135"/>
      <c r="B24" s="184" t="s">
        <v>263</v>
      </c>
      <c r="C24" s="297">
        <v>6400</v>
      </c>
    </row>
    <row r="25" spans="1:7" ht="14.25" x14ac:dyDescent="0.2">
      <c r="A25" s="135"/>
      <c r="B25" s="182" t="s">
        <v>264</v>
      </c>
      <c r="C25" s="294">
        <v>5583</v>
      </c>
    </row>
    <row r="26" spans="1:7" ht="14.25" x14ac:dyDescent="0.2">
      <c r="B26" s="182" t="s">
        <v>265</v>
      </c>
      <c r="C26" s="294">
        <v>-817</v>
      </c>
    </row>
    <row r="27" spans="1:7" ht="14.25" x14ac:dyDescent="0.2">
      <c r="B27" s="185"/>
      <c r="C27" s="186"/>
    </row>
    <row r="28" spans="1:7" ht="15" x14ac:dyDescent="0.25">
      <c r="B28" s="138" t="s">
        <v>129</v>
      </c>
      <c r="C28" s="252">
        <f>MEDIAN(C13,C14)/MEDIAN(C24,C25)</f>
        <v>0.48310105983476592</v>
      </c>
      <c r="G28" s="1">
        <f>12/C28</f>
        <v>24.839523233719124</v>
      </c>
    </row>
    <row r="29" spans="1:7" ht="15" x14ac:dyDescent="0.25">
      <c r="B29" s="136" t="s">
        <v>130</v>
      </c>
      <c r="C29" s="252">
        <f>C16/MEDIAN(C24,C25)</f>
        <v>0.38988567136777103</v>
      </c>
    </row>
    <row r="30" spans="1:7" ht="15" x14ac:dyDescent="0.25">
      <c r="B30" s="140" t="s">
        <v>131</v>
      </c>
      <c r="C30" s="139">
        <v>360</v>
      </c>
    </row>
    <row r="31" spans="1:7" ht="15" x14ac:dyDescent="0.25">
      <c r="B31" s="136" t="s">
        <v>251</v>
      </c>
      <c r="C31" s="139">
        <v>10</v>
      </c>
    </row>
    <row r="32" spans="1:7" ht="15" x14ac:dyDescent="0.25">
      <c r="B32" s="136" t="s">
        <v>252</v>
      </c>
      <c r="C32" s="139">
        <v>30</v>
      </c>
      <c r="G32" s="1">
        <f>TRUNC(G37)</f>
        <v>0</v>
      </c>
    </row>
    <row r="33" spans="2:11" ht="15" x14ac:dyDescent="0.25">
      <c r="B33" s="136" t="s">
        <v>253</v>
      </c>
      <c r="C33" s="139">
        <v>30</v>
      </c>
    </row>
    <row r="34" spans="2:11" s="90" customFormat="1" ht="15" x14ac:dyDescent="0.25">
      <c r="B34" s="136" t="s">
        <v>132</v>
      </c>
      <c r="C34" s="187">
        <f>MEDIAN(C24,C25)</f>
        <v>5991.5</v>
      </c>
    </row>
    <row r="35" spans="2:11" s="90" customFormat="1" ht="15" x14ac:dyDescent="0.25">
      <c r="B35" s="136" t="s">
        <v>38</v>
      </c>
      <c r="C35" s="188">
        <v>0.08</v>
      </c>
      <c r="K35" s="90">
        <f>IF(C39&gt;12,C39-12,C39)</f>
        <v>12.839523233719124</v>
      </c>
    </row>
    <row r="36" spans="2:11" s="90" customFormat="1" ht="15" x14ac:dyDescent="0.25">
      <c r="B36" s="136" t="s">
        <v>133</v>
      </c>
      <c r="C36" s="188">
        <v>0.5</v>
      </c>
      <c r="K36" s="90" t="e">
        <f>IF(#REF!&gt;12,#REF!-12,#REF!)</f>
        <v>#REF!</v>
      </c>
    </row>
    <row r="37" spans="2:11" s="90" customFormat="1" ht="15" x14ac:dyDescent="0.25">
      <c r="B37" s="136" t="s">
        <v>134</v>
      </c>
      <c r="C37" s="253">
        <f>((1/C28)-TRUNC(E37))</f>
        <v>6.9960269476593506E-2</v>
      </c>
      <c r="D37" s="90">
        <f>TRUNC(E37)</f>
        <v>2</v>
      </c>
      <c r="E37" s="90">
        <f>1/C28</f>
        <v>2.0699602694765935</v>
      </c>
      <c r="F37" s="90">
        <f>((1/C28)-TRUNC(E37))</f>
        <v>6.9960269476593506E-2</v>
      </c>
      <c r="G37" s="90">
        <f>12*F37</f>
        <v>0.83952323371912208</v>
      </c>
      <c r="K37" s="90" t="e">
        <f>IF(#REF!&gt;12,#REF!-12,#REF!)</f>
        <v>#REF!</v>
      </c>
    </row>
    <row r="38" spans="2:11" s="90" customFormat="1" ht="15" x14ac:dyDescent="0.25">
      <c r="B38" s="134" t="s">
        <v>135</v>
      </c>
      <c r="C38" s="141">
        <f>30+D38</f>
        <v>36</v>
      </c>
      <c r="D38" s="90">
        <f>3*D37</f>
        <v>6</v>
      </c>
      <c r="G38" s="90">
        <f>G37/12*40/360</f>
        <v>7.7733632751770566E-3</v>
      </c>
      <c r="K38" s="90" t="e">
        <f>IF(#REF!&gt;12,#REF!-12,#REF!)</f>
        <v>#REF!</v>
      </c>
    </row>
    <row r="39" spans="2:11" s="90" customFormat="1" ht="15.75" thickBot="1" x14ac:dyDescent="0.3">
      <c r="B39" s="142" t="s">
        <v>255</v>
      </c>
      <c r="C39" s="254">
        <f>12/C28</f>
        <v>24.839523233719124</v>
      </c>
      <c r="K39" s="90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C12" sqref="C12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03" bestFit="1" customWidth="1"/>
    <col min="6" max="6" width="9.7109375" bestFit="1" customWidth="1"/>
  </cols>
  <sheetData>
    <row r="1" spans="1:8" s="125" customFormat="1" ht="14.25" x14ac:dyDescent="0.2">
      <c r="A1" s="11"/>
      <c r="B1" s="123"/>
      <c r="C1" s="123"/>
      <c r="E1" s="126"/>
    </row>
    <row r="2" spans="1:8" s="125" customFormat="1" ht="14.25" x14ac:dyDescent="0.2">
      <c r="A2" s="120"/>
      <c r="B2" s="123"/>
      <c r="C2" s="123"/>
      <c r="E2" s="126"/>
    </row>
    <row r="3" spans="1:8" s="125" customFormat="1" ht="14.25" x14ac:dyDescent="0.2">
      <c r="A3" s="9"/>
      <c r="B3" s="123"/>
      <c r="C3" s="123"/>
      <c r="E3" s="126"/>
    </row>
    <row r="4" spans="1:8" s="125" customFormat="1" ht="14.25" x14ac:dyDescent="0.2">
      <c r="A4" s="120"/>
      <c r="B4" s="123"/>
      <c r="C4" s="123"/>
      <c r="E4" s="126"/>
    </row>
    <row r="5" spans="1:8" s="125" customFormat="1" ht="15" thickBot="1" x14ac:dyDescent="0.25">
      <c r="B5" s="123"/>
      <c r="C5" s="123"/>
      <c r="E5" s="126"/>
    </row>
    <row r="6" spans="1:8" ht="15.75" x14ac:dyDescent="0.2">
      <c r="A6" s="363" t="s">
        <v>237</v>
      </c>
      <c r="B6" s="364"/>
      <c r="C6" s="364"/>
      <c r="D6" s="364"/>
      <c r="E6" s="364"/>
      <c r="F6" s="365"/>
    </row>
    <row r="7" spans="1:8" ht="16.5" thickBot="1" x14ac:dyDescent="0.25">
      <c r="A7" s="230"/>
      <c r="B7" s="231"/>
      <c r="C7" s="231"/>
      <c r="D7" s="231"/>
      <c r="E7" s="231"/>
      <c r="F7" s="232"/>
    </row>
    <row r="8" spans="1:8" ht="15" x14ac:dyDescent="0.25">
      <c r="A8" s="189"/>
      <c r="B8" s="124"/>
      <c r="C8" s="124"/>
      <c r="D8" s="360" t="s">
        <v>254</v>
      </c>
      <c r="E8" s="361"/>
      <c r="F8" s="362"/>
      <c r="G8" s="125"/>
      <c r="H8" s="125"/>
    </row>
    <row r="9" spans="1:8" ht="15" thickBot="1" x14ac:dyDescent="0.25">
      <c r="A9" s="185"/>
      <c r="B9" s="190"/>
      <c r="C9" s="190"/>
      <c r="D9" s="191" t="s">
        <v>186</v>
      </c>
      <c r="E9" s="192" t="s">
        <v>187</v>
      </c>
      <c r="F9" s="193" t="s">
        <v>188</v>
      </c>
      <c r="G9" s="125"/>
      <c r="H9" s="125"/>
    </row>
    <row r="10" spans="1:8" ht="14.25" x14ac:dyDescent="0.2">
      <c r="A10" s="194" t="s">
        <v>73</v>
      </c>
      <c r="B10" s="195" t="s">
        <v>74</v>
      </c>
      <c r="C10" s="298">
        <v>0.05</v>
      </c>
      <c r="D10" s="299">
        <v>2.9700000000000001E-2</v>
      </c>
      <c r="E10" s="300">
        <v>5.0799999999999998E-2</v>
      </c>
      <c r="F10" s="208">
        <v>6.2700000000000006E-2</v>
      </c>
      <c r="G10" s="125"/>
      <c r="H10" s="125"/>
    </row>
    <row r="11" spans="1:8" ht="14.25" x14ac:dyDescent="0.2">
      <c r="A11" s="197" t="s">
        <v>75</v>
      </c>
      <c r="B11" s="198" t="s">
        <v>76</v>
      </c>
      <c r="C11" s="199">
        <v>2.5000000000000001E-2</v>
      </c>
      <c r="D11" s="299">
        <f>0.3%+0.56%</f>
        <v>8.6E-3</v>
      </c>
      <c r="E11" s="300">
        <f>0.48%+0.85%</f>
        <v>1.3299999999999999E-2</v>
      </c>
      <c r="F11" s="208">
        <f>0.82%+0.89%</f>
        <v>1.7099999999999997E-2</v>
      </c>
      <c r="G11" s="125"/>
      <c r="H11" s="125"/>
    </row>
    <row r="12" spans="1:8" ht="14.25" x14ac:dyDescent="0.2">
      <c r="A12" s="197" t="s">
        <v>77</v>
      </c>
      <c r="B12" s="198" t="s">
        <v>78</v>
      </c>
      <c r="C12" s="199">
        <v>0.12</v>
      </c>
      <c r="D12" s="299">
        <v>7.7799999999999994E-2</v>
      </c>
      <c r="E12" s="300">
        <v>0.1085</v>
      </c>
      <c r="F12" s="208">
        <v>0.13550000000000001</v>
      </c>
      <c r="G12" s="125"/>
      <c r="H12" s="125"/>
    </row>
    <row r="13" spans="1:8" ht="14.25" x14ac:dyDescent="0.2">
      <c r="A13" s="197" t="s">
        <v>79</v>
      </c>
      <c r="B13" s="198" t="s">
        <v>80</v>
      </c>
      <c r="C13" s="199">
        <f>(1+E13)^(E14/252)-1</f>
        <v>0</v>
      </c>
      <c r="D13" s="301" t="s">
        <v>189</v>
      </c>
      <c r="E13" s="302">
        <v>8.4500000000000006E-2</v>
      </c>
      <c r="F13" s="196"/>
      <c r="G13" s="125"/>
      <c r="H13" s="125"/>
    </row>
    <row r="14" spans="1:8" ht="14.25" x14ac:dyDescent="0.2">
      <c r="A14" s="197" t="s">
        <v>81</v>
      </c>
      <c r="B14" s="358" t="s">
        <v>82</v>
      </c>
      <c r="C14" s="199">
        <v>0.03</v>
      </c>
      <c r="D14" s="218" t="s">
        <v>190</v>
      </c>
      <c r="E14" s="303">
        <v>0</v>
      </c>
      <c r="F14" s="200"/>
      <c r="G14" s="125"/>
      <c r="H14" s="125"/>
    </row>
    <row r="15" spans="1:8" ht="14.25" x14ac:dyDescent="0.2">
      <c r="A15" s="311" t="s">
        <v>83</v>
      </c>
      <c r="B15" s="359"/>
      <c r="C15" s="312">
        <v>3.6499999999999998E-2</v>
      </c>
      <c r="D15" s="218"/>
      <c r="E15" s="303"/>
      <c r="F15" s="200"/>
      <c r="G15" s="125"/>
      <c r="H15" s="125"/>
    </row>
    <row r="16" spans="1:8" ht="15" thickBot="1" x14ac:dyDescent="0.25">
      <c r="A16" s="313" t="s">
        <v>280</v>
      </c>
      <c r="B16" s="314"/>
      <c r="C16" s="315"/>
      <c r="D16" s="310"/>
      <c r="E16" s="303"/>
      <c r="F16" s="200"/>
      <c r="G16" s="125"/>
      <c r="H16" s="125"/>
    </row>
    <row r="17" spans="1:8" ht="15" thickBot="1" x14ac:dyDescent="0.25">
      <c r="A17" s="307" t="s">
        <v>84</v>
      </c>
      <c r="B17" s="308"/>
      <c r="C17" s="309"/>
      <c r="D17" s="182"/>
      <c r="E17" s="201"/>
      <c r="F17" s="200"/>
      <c r="G17" s="125"/>
      <c r="H17" s="125"/>
    </row>
    <row r="18" spans="1:8" ht="15" thickBot="1" x14ac:dyDescent="0.25">
      <c r="A18" s="202" t="s">
        <v>85</v>
      </c>
      <c r="B18" s="203"/>
      <c r="C18" s="204"/>
      <c r="D18" s="182"/>
      <c r="E18" s="201"/>
      <c r="F18" s="200"/>
      <c r="G18" s="125"/>
      <c r="H18" s="125"/>
    </row>
    <row r="19" spans="1:8" ht="15.75" thickBot="1" x14ac:dyDescent="0.25">
      <c r="A19" s="205" t="s">
        <v>86</v>
      </c>
      <c r="B19" s="206"/>
      <c r="C19" s="207">
        <f>ROUND((((1+C10+C11)*(1+C12)*(1+C13))/(1-(C14+C15))-1),4)</f>
        <v>0.2898</v>
      </c>
      <c r="D19" s="209">
        <v>0.21429999999999999</v>
      </c>
      <c r="E19" s="210">
        <v>0.2717</v>
      </c>
      <c r="F19" s="211">
        <v>0.3362</v>
      </c>
      <c r="G19" s="125"/>
      <c r="H19" s="125"/>
    </row>
    <row r="20" spans="1:8" ht="14.25" x14ac:dyDescent="0.2">
      <c r="A20" s="125"/>
      <c r="B20" s="125"/>
      <c r="C20" s="125"/>
      <c r="D20" s="125"/>
      <c r="E20" s="126"/>
      <c r="F20" s="125"/>
      <c r="G20" s="125"/>
      <c r="H20" s="125"/>
    </row>
    <row r="21" spans="1:8" ht="14.25" x14ac:dyDescent="0.2">
      <c r="A21" s="125"/>
      <c r="B21" s="125"/>
      <c r="C21" s="125"/>
      <c r="D21" s="125"/>
      <c r="E21" s="126"/>
      <c r="F21" s="125"/>
      <c r="G21" s="125"/>
      <c r="H21" s="125"/>
    </row>
    <row r="22" spans="1:8" ht="14.25" x14ac:dyDescent="0.2">
      <c r="A22" s="125"/>
      <c r="B22" s="125"/>
      <c r="C22" s="125"/>
      <c r="D22" s="125"/>
      <c r="E22" s="126"/>
      <c r="F22" s="125"/>
      <c r="G22" s="125"/>
      <c r="H22" s="125"/>
    </row>
    <row r="23" spans="1:8" ht="14.25" x14ac:dyDescent="0.2">
      <c r="A23" s="125"/>
      <c r="B23" s="125"/>
      <c r="C23" s="125"/>
      <c r="D23" s="125"/>
      <c r="E23" s="126"/>
      <c r="F23" s="125"/>
      <c r="G23" s="125"/>
      <c r="H23" s="125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7" sqref="B7"/>
    </sheetView>
  </sheetViews>
  <sheetFormatPr defaultRowHeight="19.5" customHeight="1" x14ac:dyDescent="0.2"/>
  <cols>
    <col min="1" max="1" width="24.5703125" style="1" customWidth="1"/>
    <col min="2" max="2" width="18.5703125" style="1" customWidth="1"/>
    <col min="3" max="16384" width="9.140625" style="1"/>
  </cols>
  <sheetData>
    <row r="1" spans="1:2" ht="19.5" customHeight="1" thickBot="1" x14ac:dyDescent="0.25">
      <c r="A1" s="366" t="s">
        <v>239</v>
      </c>
      <c r="B1" s="367"/>
    </row>
    <row r="2" spans="1:2" s="90" customFormat="1" ht="19.5" customHeight="1" x14ac:dyDescent="0.2">
      <c r="A2" s="240" t="s">
        <v>200</v>
      </c>
      <c r="B2" s="241" t="s">
        <v>93</v>
      </c>
    </row>
    <row r="3" spans="1:2" ht="19.5" customHeight="1" x14ac:dyDescent="0.2">
      <c r="A3" s="144">
        <v>1</v>
      </c>
      <c r="B3" s="143">
        <v>33.629999999999995</v>
      </c>
    </row>
    <row r="4" spans="1:2" ht="19.5" customHeight="1" x14ac:dyDescent="0.2">
      <c r="A4" s="144">
        <v>2</v>
      </c>
      <c r="B4" s="143">
        <v>43.13</v>
      </c>
    </row>
    <row r="5" spans="1:2" ht="19.5" customHeight="1" x14ac:dyDescent="0.2">
      <c r="A5" s="144">
        <v>3</v>
      </c>
      <c r="B5" s="143">
        <v>48.68</v>
      </c>
    </row>
    <row r="6" spans="1:2" ht="19.5" customHeight="1" x14ac:dyDescent="0.2">
      <c r="A6" s="144">
        <v>4</v>
      </c>
      <c r="B6" s="143">
        <v>52.62</v>
      </c>
    </row>
    <row r="7" spans="1:2" ht="19.5" customHeight="1" x14ac:dyDescent="0.2">
      <c r="A7" s="144">
        <v>5</v>
      </c>
      <c r="B7" s="143">
        <v>55.679999999999993</v>
      </c>
    </row>
    <row r="8" spans="1:2" ht="19.5" customHeight="1" x14ac:dyDescent="0.2">
      <c r="A8" s="144">
        <v>6</v>
      </c>
      <c r="B8" s="143">
        <v>58.18</v>
      </c>
    </row>
    <row r="9" spans="1:2" ht="19.5" customHeight="1" x14ac:dyDescent="0.2">
      <c r="A9" s="144">
        <v>7</v>
      </c>
      <c r="B9" s="143">
        <v>60.29</v>
      </c>
    </row>
    <row r="10" spans="1:2" ht="19.5" customHeight="1" x14ac:dyDescent="0.2">
      <c r="A10" s="144">
        <v>8</v>
      </c>
      <c r="B10" s="143">
        <v>62.12</v>
      </c>
    </row>
    <row r="11" spans="1:2" ht="19.5" customHeight="1" x14ac:dyDescent="0.2">
      <c r="A11" s="144">
        <v>9</v>
      </c>
      <c r="B11" s="143">
        <v>63.73</v>
      </c>
    </row>
    <row r="12" spans="1:2" ht="19.5" customHeight="1" x14ac:dyDescent="0.2">
      <c r="A12" s="144">
        <v>10</v>
      </c>
      <c r="B12" s="143">
        <v>65.180000000000007</v>
      </c>
    </row>
    <row r="13" spans="1:2" ht="19.5" customHeight="1" x14ac:dyDescent="0.2">
      <c r="A13" s="144">
        <v>11</v>
      </c>
      <c r="B13" s="143">
        <v>66.47999999999999</v>
      </c>
    </row>
    <row r="14" spans="1:2" ht="19.5" customHeight="1" x14ac:dyDescent="0.2">
      <c r="A14" s="144">
        <v>12</v>
      </c>
      <c r="B14" s="143">
        <v>67.67</v>
      </c>
    </row>
    <row r="15" spans="1:2" ht="19.5" customHeight="1" x14ac:dyDescent="0.2">
      <c r="A15" s="144">
        <v>13</v>
      </c>
      <c r="B15" s="143">
        <v>68.77</v>
      </c>
    </row>
    <row r="16" spans="1:2" ht="19.5" customHeight="1" x14ac:dyDescent="0.2">
      <c r="A16" s="144">
        <v>14</v>
      </c>
      <c r="B16" s="143">
        <v>69.789999999999992</v>
      </c>
    </row>
    <row r="17" spans="1:2" ht="19.5" customHeight="1" thickBot="1" x14ac:dyDescent="0.25">
      <c r="A17" s="145">
        <v>15</v>
      </c>
      <c r="B17" s="146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15" t="s">
        <v>243</v>
      </c>
    </row>
    <row r="2" spans="1:1" x14ac:dyDescent="0.2">
      <c r="A2" s="212"/>
    </row>
    <row r="3" spans="1:1" x14ac:dyDescent="0.2">
      <c r="A3" s="212" t="s">
        <v>256</v>
      </c>
    </row>
    <row r="4" spans="1:1" x14ac:dyDescent="0.2">
      <c r="A4" s="212"/>
    </row>
    <row r="5" spans="1:1" x14ac:dyDescent="0.2">
      <c r="A5" s="212"/>
    </row>
    <row r="6" spans="1:1" x14ac:dyDescent="0.2">
      <c r="A6" s="212"/>
    </row>
    <row r="7" spans="1:1" x14ac:dyDescent="0.2">
      <c r="A7" s="212"/>
    </row>
    <row r="8" spans="1:1" x14ac:dyDescent="0.2">
      <c r="A8" s="212"/>
    </row>
    <row r="9" spans="1:1" x14ac:dyDescent="0.2">
      <c r="A9" s="212"/>
    </row>
    <row r="10" spans="1:1" x14ac:dyDescent="0.2">
      <c r="A10" s="212"/>
    </row>
    <row r="11" spans="1:1" x14ac:dyDescent="0.2">
      <c r="A11" s="212"/>
    </row>
    <row r="12" spans="1:1" ht="19.5" x14ac:dyDescent="0.35">
      <c r="A12" s="213" t="s">
        <v>240</v>
      </c>
    </row>
    <row r="13" spans="1:1" ht="15" x14ac:dyDescent="0.2">
      <c r="A13" s="213" t="s">
        <v>102</v>
      </c>
    </row>
    <row r="14" spans="1:1" ht="15" x14ac:dyDescent="0.2">
      <c r="A14" s="213" t="s">
        <v>107</v>
      </c>
    </row>
    <row r="15" spans="1:1" ht="19.5" x14ac:dyDescent="0.35">
      <c r="A15" s="213" t="s">
        <v>241</v>
      </c>
    </row>
    <row r="16" spans="1:1" ht="19.5" x14ac:dyDescent="0.35">
      <c r="A16" s="213" t="s">
        <v>242</v>
      </c>
    </row>
    <row r="17" spans="1:1" ht="15.75" thickBot="1" x14ac:dyDescent="0.25">
      <c r="A17" s="214" t="s">
        <v>103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7"/>
  <sheetViews>
    <sheetView topLeftCell="B1" workbookViewId="0">
      <selection activeCell="F5" sqref="F5"/>
    </sheetView>
  </sheetViews>
  <sheetFormatPr defaultRowHeight="12.75" x14ac:dyDescent="0.2"/>
  <cols>
    <col min="1" max="1" width="33.5703125" style="1" customWidth="1"/>
    <col min="2" max="2" width="9.28515625" style="1" customWidth="1"/>
    <col min="3" max="16384" width="9.140625" style="1"/>
  </cols>
  <sheetData>
    <row r="1" spans="1:3" x14ac:dyDescent="0.2">
      <c r="A1" s="11"/>
    </row>
    <row r="2" spans="1:3" x14ac:dyDescent="0.2">
      <c r="A2" s="120"/>
    </row>
    <row r="3" spans="1:3" x14ac:dyDescent="0.2">
      <c r="A3" s="9"/>
    </row>
    <row r="5" spans="1:3" ht="13.5" thickBot="1" x14ac:dyDescent="0.25"/>
    <row r="6" spans="1:3" ht="18" x14ac:dyDescent="0.25">
      <c r="A6" s="354" t="s">
        <v>244</v>
      </c>
      <c r="B6" s="368"/>
      <c r="C6" s="355"/>
    </row>
    <row r="7" spans="1:3" s="239" customFormat="1" ht="18" x14ac:dyDescent="0.25">
      <c r="A7" s="236"/>
      <c r="B7" s="237"/>
      <c r="C7" s="238"/>
    </row>
    <row r="8" spans="1:3" s="90" customFormat="1" ht="15" x14ac:dyDescent="0.25">
      <c r="A8" s="233" t="s">
        <v>206</v>
      </c>
      <c r="B8" s="234" t="s">
        <v>207</v>
      </c>
      <c r="C8" s="235" t="s">
        <v>138</v>
      </c>
    </row>
    <row r="9" spans="1:3" ht="14.25" x14ac:dyDescent="0.2">
      <c r="A9" s="218" t="s">
        <v>208</v>
      </c>
      <c r="B9" s="217" t="s">
        <v>209</v>
      </c>
      <c r="C9" s="294">
        <v>17102</v>
      </c>
    </row>
    <row r="10" spans="1:3" ht="14.25" x14ac:dyDescent="0.2">
      <c r="A10" s="182" t="s">
        <v>210</v>
      </c>
      <c r="B10" s="216"/>
      <c r="C10" s="304">
        <f>0.0362741*C9^0.2336249</f>
        <v>0.35362405926084461</v>
      </c>
    </row>
    <row r="11" spans="1:3" ht="14.25" x14ac:dyDescent="0.2">
      <c r="A11" s="182" t="s">
        <v>211</v>
      </c>
      <c r="B11" s="216" t="s">
        <v>212</v>
      </c>
      <c r="C11" s="305">
        <f>C9*C10/1000</f>
        <v>6.0476786614789644</v>
      </c>
    </row>
    <row r="12" spans="1:3" ht="14.25" x14ac:dyDescent="0.2">
      <c r="A12" s="182" t="s">
        <v>213</v>
      </c>
      <c r="B12" s="216" t="s">
        <v>212</v>
      </c>
      <c r="C12" s="306">
        <f>(C11*30)/(52/12)</f>
        <v>41.868544579469756</v>
      </c>
    </row>
    <row r="13" spans="1:3" ht="14.25" x14ac:dyDescent="0.2">
      <c r="A13" s="218" t="s">
        <v>214</v>
      </c>
      <c r="B13" s="216" t="s">
        <v>215</v>
      </c>
      <c r="C13" s="294">
        <v>500</v>
      </c>
    </row>
    <row r="14" spans="1:3" ht="14.25" x14ac:dyDescent="0.2">
      <c r="A14" s="182" t="s">
        <v>216</v>
      </c>
      <c r="B14" s="216"/>
      <c r="C14" s="294">
        <v>2</v>
      </c>
    </row>
    <row r="15" spans="1:3" ht="14.25" x14ac:dyDescent="0.2">
      <c r="A15" s="218" t="s">
        <v>217</v>
      </c>
      <c r="B15" s="216" t="s">
        <v>218</v>
      </c>
      <c r="C15" s="294">
        <v>15</v>
      </c>
    </row>
    <row r="16" spans="1:3" ht="14.25" x14ac:dyDescent="0.2">
      <c r="A16" s="182" t="s">
        <v>219</v>
      </c>
      <c r="B16" s="216" t="s">
        <v>212</v>
      </c>
      <c r="C16" s="200">
        <f>IF(AND(C15&gt;=15,C14=1),5.8,C15/2)</f>
        <v>7.5</v>
      </c>
    </row>
    <row r="17" spans="1:3" ht="15" thickBot="1" x14ac:dyDescent="0.25">
      <c r="A17" s="219" t="s">
        <v>220</v>
      </c>
      <c r="B17" s="220"/>
      <c r="C17" s="221">
        <f>IFERROR(CEILING((C12/C16),1),0)</f>
        <v>6</v>
      </c>
    </row>
  </sheetData>
  <mergeCells count="1">
    <mergeCell ref="A6:C6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Admin</cp:lastModifiedBy>
  <cp:lastPrinted>2017-11-06T15:45:16Z</cp:lastPrinted>
  <dcterms:created xsi:type="dcterms:W3CDTF">2000-12-13T10:02:50Z</dcterms:created>
  <dcterms:modified xsi:type="dcterms:W3CDTF">2018-06-04T18:06:42Z</dcterms:modified>
</cp:coreProperties>
</file>