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20730" windowHeight="9705" tabRatio="855" activeTab="4"/>
  </bookViews>
  <sheets>
    <sheet name="ANTIGOS" sheetId="2" r:id="rId1"/>
    <sheet name="ENCERRADOS" sheetId="14" r:id="rId2"/>
    <sheet name="FPE 164-2018" sheetId="7" state="hidden" r:id="rId3"/>
    <sheet name="881873" sheetId="8" r:id="rId4"/>
    <sheet name="878460" sheetId="9" r:id="rId5"/>
    <sheet name="885736" sheetId="11" r:id="rId6"/>
    <sheet name="889314" sheetId="12" r:id="rId7"/>
    <sheet name="888329" sheetId="13" r:id="rId8"/>
    <sheet name="FINISA 01" sheetId="10" r:id="rId9"/>
    <sheet name="FINISA 02" sheetId="15" r:id="rId10"/>
    <sheet name="FINISA 03" sheetId="16" r:id="rId11"/>
    <sheet name="FINISA 04" sheetId="19" r:id="rId12"/>
    <sheet name="FINISA 05" sheetId="20" r:id="rId13"/>
    <sheet name="FINISA 06" sheetId="21" r:id="rId14"/>
  </sheets>
  <calcPr calcId="125725"/>
</workbook>
</file>

<file path=xl/calcChain.xml><?xml version="1.0" encoding="utf-8"?>
<calcChain xmlns="http://schemas.openxmlformats.org/spreadsheetml/2006/main">
  <c r="B9" i="9"/>
  <c r="S27" i="11"/>
  <c r="B12" i="9"/>
  <c r="B9" i="10"/>
  <c r="B9" i="8"/>
  <c r="C6"/>
  <c r="C6" i="20"/>
  <c r="C6" i="16"/>
  <c r="C6" i="15"/>
  <c r="C6" i="10"/>
  <c r="C6" i="13"/>
  <c r="C6" i="11"/>
  <c r="B9" i="16"/>
  <c r="P122" i="14"/>
  <c r="P121"/>
  <c r="P120"/>
  <c r="P119"/>
  <c r="P118"/>
  <c r="P117"/>
  <c r="P116"/>
  <c r="P115"/>
  <c r="P114"/>
  <c r="P113"/>
  <c r="P112"/>
  <c r="P111"/>
  <c r="P110"/>
  <c r="P109"/>
  <c r="P108"/>
  <c r="S104"/>
  <c r="S103"/>
  <c r="P100"/>
  <c r="S101" s="1"/>
  <c r="N100"/>
  <c r="S100" s="1"/>
  <c r="Q98"/>
  <c r="R97"/>
  <c r="B125"/>
  <c r="B124"/>
  <c r="B122"/>
  <c r="K116"/>
  <c r="B123" s="1"/>
  <c r="H116"/>
  <c r="F116"/>
  <c r="C113"/>
  <c r="I104"/>
  <c r="G104"/>
  <c r="B101"/>
  <c r="B98"/>
  <c r="H104" s="1"/>
  <c r="K95"/>
  <c r="K96" s="1"/>
  <c r="K97" s="1"/>
  <c r="K98" s="1"/>
  <c r="H95"/>
  <c r="H96" s="1"/>
  <c r="H97" s="1"/>
  <c r="H98" s="1"/>
  <c r="H99" s="1"/>
  <c r="B104" s="1"/>
  <c r="F95"/>
  <c r="F96" s="1"/>
  <c r="F97" s="1"/>
  <c r="F98" s="1"/>
  <c r="F99" s="1"/>
  <c r="G92"/>
  <c r="H92" s="1"/>
  <c r="C92"/>
  <c r="B9" i="13"/>
  <c r="B9" i="11"/>
  <c r="B9" i="15"/>
  <c r="B6" i="12"/>
  <c r="P14"/>
  <c r="Q14"/>
  <c r="B13"/>
  <c r="N14" i="21"/>
  <c r="O13"/>
  <c r="T14" s="1"/>
  <c r="N13"/>
  <c r="N11"/>
  <c r="W5"/>
  <c r="W6" s="1"/>
  <c r="T5"/>
  <c r="T6" s="1"/>
  <c r="R5"/>
  <c r="R6" s="1"/>
  <c r="O2"/>
  <c r="B14"/>
  <c r="C13"/>
  <c r="H14" s="1"/>
  <c r="B13"/>
  <c r="B12"/>
  <c r="B11"/>
  <c r="K5"/>
  <c r="K6" s="1"/>
  <c r="H5"/>
  <c r="H6" s="1"/>
  <c r="F5"/>
  <c r="F6" s="1"/>
  <c r="G2"/>
  <c r="H2" s="1"/>
  <c r="C2"/>
  <c r="B11" i="20"/>
  <c r="B13"/>
  <c r="K5"/>
  <c r="K6" s="1"/>
  <c r="K7" s="1"/>
  <c r="H5"/>
  <c r="H6" s="1"/>
  <c r="H7" s="1"/>
  <c r="H8" s="1"/>
  <c r="F5"/>
  <c r="F6" s="1"/>
  <c r="F7" s="1"/>
  <c r="F8" s="1"/>
  <c r="C2"/>
  <c r="B9" i="12"/>
  <c r="P15"/>
  <c r="B11" i="9"/>
  <c r="C3" s="1"/>
  <c r="C4" i="10"/>
  <c r="B42" i="8"/>
  <c r="B38"/>
  <c r="B40" s="1"/>
  <c r="K34"/>
  <c r="K35" s="1"/>
  <c r="K36" s="1"/>
  <c r="K37" s="1"/>
  <c r="H34"/>
  <c r="H35" s="1"/>
  <c r="H36" s="1"/>
  <c r="H37" s="1"/>
  <c r="H38" s="1"/>
  <c r="H39" s="1"/>
  <c r="F34"/>
  <c r="F35" s="1"/>
  <c r="F36" s="1"/>
  <c r="F37" s="1"/>
  <c r="F38" s="1"/>
  <c r="F39" s="1"/>
  <c r="C31"/>
  <c r="C43" i="14"/>
  <c r="B43"/>
  <c r="B38"/>
  <c r="B40" s="1"/>
  <c r="K35"/>
  <c r="K36" s="1"/>
  <c r="K37" s="1"/>
  <c r="K38" s="1"/>
  <c r="K39" s="1"/>
  <c r="K40" s="1"/>
  <c r="H35"/>
  <c r="H36" s="1"/>
  <c r="H37" s="1"/>
  <c r="H38" s="1"/>
  <c r="H39" s="1"/>
  <c r="H40" s="1"/>
  <c r="F35"/>
  <c r="F36" s="1"/>
  <c r="F37" s="1"/>
  <c r="F38" s="1"/>
  <c r="F39" s="1"/>
  <c r="F40" s="1"/>
  <c r="C32"/>
  <c r="B14"/>
  <c r="C13"/>
  <c r="G14" s="1"/>
  <c r="B13"/>
  <c r="B8"/>
  <c r="B10" s="1"/>
  <c r="K5"/>
  <c r="K6" s="1"/>
  <c r="K7" s="1"/>
  <c r="H5"/>
  <c r="H6" s="1"/>
  <c r="H7" s="1"/>
  <c r="F5"/>
  <c r="F6" s="1"/>
  <c r="F7" s="1"/>
  <c r="C2"/>
  <c r="B13" i="19"/>
  <c r="N16" i="9"/>
  <c r="P16" s="1"/>
  <c r="B74" i="14"/>
  <c r="C74"/>
  <c r="N75"/>
  <c r="P75" s="1"/>
  <c r="N13" i="12"/>
  <c r="B11" i="15"/>
  <c r="P4" i="8"/>
  <c r="S5" s="1"/>
  <c r="P20"/>
  <c r="P19"/>
  <c r="P18"/>
  <c r="P17"/>
  <c r="P74" i="14"/>
  <c r="R61"/>
  <c r="R1" i="13"/>
  <c r="R1" i="12"/>
  <c r="R1" i="11"/>
  <c r="R1" i="9"/>
  <c r="R1" i="8"/>
  <c r="N66" i="14"/>
  <c r="N64" s="1"/>
  <c r="P86"/>
  <c r="P85"/>
  <c r="P84"/>
  <c r="P83"/>
  <c r="P82"/>
  <c r="P81"/>
  <c r="P80"/>
  <c r="P79"/>
  <c r="P78"/>
  <c r="P77"/>
  <c r="P73"/>
  <c r="P72"/>
  <c r="S68"/>
  <c r="P64"/>
  <c r="S65" s="1"/>
  <c r="N6" i="13"/>
  <c r="N4" s="1"/>
  <c r="S4" s="1"/>
  <c r="P26"/>
  <c r="P25"/>
  <c r="P24"/>
  <c r="P23"/>
  <c r="P22"/>
  <c r="P21"/>
  <c r="P20"/>
  <c r="P19"/>
  <c r="P18"/>
  <c r="P17"/>
  <c r="P16"/>
  <c r="P15"/>
  <c r="P14"/>
  <c r="P13"/>
  <c r="P12"/>
  <c r="S8"/>
  <c r="S7"/>
  <c r="P4"/>
  <c r="P12" i="12"/>
  <c r="P13"/>
  <c r="P26"/>
  <c r="P25"/>
  <c r="P24"/>
  <c r="P23"/>
  <c r="P22"/>
  <c r="P21"/>
  <c r="P20"/>
  <c r="P19"/>
  <c r="P18"/>
  <c r="P17"/>
  <c r="P16"/>
  <c r="S8"/>
  <c r="S7"/>
  <c r="P4"/>
  <c r="N4"/>
  <c r="S4" s="1"/>
  <c r="P14" i="9"/>
  <c r="N6"/>
  <c r="N4" s="1"/>
  <c r="S4" s="1"/>
  <c r="P26"/>
  <c r="P25"/>
  <c r="P24"/>
  <c r="P23"/>
  <c r="P22"/>
  <c r="P21"/>
  <c r="P20"/>
  <c r="P19"/>
  <c r="P18"/>
  <c r="P17"/>
  <c r="P15"/>
  <c r="P13"/>
  <c r="P12"/>
  <c r="S8"/>
  <c r="S7"/>
  <c r="P4"/>
  <c r="N12" i="21" l="1"/>
  <c r="S2"/>
  <c r="T2" s="1"/>
  <c r="S27" i="12"/>
  <c r="G113" i="14"/>
  <c r="H113" s="1"/>
  <c r="S123"/>
  <c r="O98"/>
  <c r="S98" s="1"/>
  <c r="B100"/>
  <c r="S14" i="21"/>
  <c r="U14"/>
  <c r="Q14"/>
  <c r="G14"/>
  <c r="I14"/>
  <c r="E14"/>
  <c r="B14" i="20"/>
  <c r="C13"/>
  <c r="K8"/>
  <c r="G2"/>
  <c r="H2" s="1"/>
  <c r="B12"/>
  <c r="B41" i="8"/>
  <c r="G31"/>
  <c r="H31" s="1"/>
  <c r="K38"/>
  <c r="K39" s="1"/>
  <c r="B41" i="14"/>
  <c r="G32"/>
  <c r="H32" s="1"/>
  <c r="B11"/>
  <c r="G2"/>
  <c r="H2" s="1"/>
  <c r="I14"/>
  <c r="Q2" i="9"/>
  <c r="Q2" i="13"/>
  <c r="Q2" i="12"/>
  <c r="Q62" i="14"/>
  <c r="O2" i="12"/>
  <c r="S64" i="14"/>
  <c r="S27" i="13"/>
  <c r="O2"/>
  <c r="S2" s="1"/>
  <c r="S5"/>
  <c r="S5" i="12"/>
  <c r="S27" i="9"/>
  <c r="O2"/>
  <c r="S5"/>
  <c r="I14" i="20" l="1"/>
  <c r="G14"/>
  <c r="H14"/>
  <c r="E14"/>
  <c r="S2" i="12"/>
  <c r="S2" i="9"/>
  <c r="K5" i="11"/>
  <c r="P26" i="8"/>
  <c r="P25"/>
  <c r="P24"/>
  <c r="P23"/>
  <c r="P22"/>
  <c r="P21"/>
  <c r="P15"/>
  <c r="P16" s="1"/>
  <c r="P14"/>
  <c r="P13"/>
  <c r="P12"/>
  <c r="S8"/>
  <c r="N4"/>
  <c r="S4" s="1"/>
  <c r="P14" i="11"/>
  <c r="P15"/>
  <c r="P16"/>
  <c r="P17"/>
  <c r="P18"/>
  <c r="P19"/>
  <c r="P20"/>
  <c r="P21"/>
  <c r="P22"/>
  <c r="P23"/>
  <c r="P24"/>
  <c r="P25"/>
  <c r="P26"/>
  <c r="S8"/>
  <c r="S7"/>
  <c r="P4"/>
  <c r="S5" s="1"/>
  <c r="N4"/>
  <c r="S4" s="1"/>
  <c r="P13"/>
  <c r="P12"/>
  <c r="S27" i="8" l="1"/>
  <c r="Q2"/>
  <c r="S7"/>
  <c r="O2" s="1"/>
  <c r="Q2" i="11"/>
  <c r="O2"/>
  <c r="B11" i="19"/>
  <c r="K5"/>
  <c r="K6" s="1"/>
  <c r="K7" s="1"/>
  <c r="H5"/>
  <c r="H6" s="1"/>
  <c r="H7" s="1"/>
  <c r="F5"/>
  <c r="F6" s="1"/>
  <c r="F7" s="1"/>
  <c r="C2"/>
  <c r="C2" i="12"/>
  <c r="B13" i="16"/>
  <c r="B11"/>
  <c r="K5"/>
  <c r="K6" s="1"/>
  <c r="H5"/>
  <c r="H6" s="1"/>
  <c r="F5"/>
  <c r="F6" s="1"/>
  <c r="C2"/>
  <c r="B13" i="15"/>
  <c r="K5"/>
  <c r="K6" s="1"/>
  <c r="K7" s="1"/>
  <c r="K8" s="1"/>
  <c r="K9" s="1"/>
  <c r="K10" s="1"/>
  <c r="H5"/>
  <c r="H6" s="1"/>
  <c r="H7" s="1"/>
  <c r="H8" s="1"/>
  <c r="H9" s="1"/>
  <c r="H10" s="1"/>
  <c r="F5"/>
  <c r="F6" s="1"/>
  <c r="F7" s="1"/>
  <c r="F8" s="1"/>
  <c r="F9" s="1"/>
  <c r="F10" s="1"/>
  <c r="C2"/>
  <c r="B70" i="14"/>
  <c r="K65"/>
  <c r="K66" s="1"/>
  <c r="K67" s="1"/>
  <c r="K68" s="1"/>
  <c r="B44" s="1"/>
  <c r="H65"/>
  <c r="H66" s="1"/>
  <c r="H67" s="1"/>
  <c r="H68" s="1"/>
  <c r="F65"/>
  <c r="F66" s="1"/>
  <c r="F67" s="1"/>
  <c r="F68" s="1"/>
  <c r="F69" s="1"/>
  <c r="C62"/>
  <c r="B13" i="13"/>
  <c r="B11"/>
  <c r="K5"/>
  <c r="H5"/>
  <c r="H6" s="1"/>
  <c r="H7" s="1"/>
  <c r="F5"/>
  <c r="F6" s="1"/>
  <c r="F7" s="1"/>
  <c r="F8" s="1"/>
  <c r="F9" s="1"/>
  <c r="F10" s="1"/>
  <c r="C2"/>
  <c r="B11" i="12"/>
  <c r="K5"/>
  <c r="H5"/>
  <c r="H6" s="1"/>
  <c r="F5"/>
  <c r="F6" s="1"/>
  <c r="F7" s="1"/>
  <c r="F8" s="1"/>
  <c r="C13" s="1"/>
  <c r="B13" i="11"/>
  <c r="B11"/>
  <c r="K6"/>
  <c r="K7" s="1"/>
  <c r="K8" s="1"/>
  <c r="H5"/>
  <c r="H6" s="1"/>
  <c r="H7" s="1"/>
  <c r="F5"/>
  <c r="F6" s="1"/>
  <c r="F7" s="1"/>
  <c r="F8" s="1"/>
  <c r="C2"/>
  <c r="B13" i="10"/>
  <c r="B11"/>
  <c r="C3" s="1"/>
  <c r="K5"/>
  <c r="H5"/>
  <c r="H6" s="1"/>
  <c r="F5"/>
  <c r="F6" s="1"/>
  <c r="C2"/>
  <c r="B13" i="9"/>
  <c r="K5"/>
  <c r="K6" s="1"/>
  <c r="K7" s="1"/>
  <c r="K8" s="1"/>
  <c r="K9" s="1"/>
  <c r="K10" s="1"/>
  <c r="H5"/>
  <c r="H6" s="1"/>
  <c r="H7" s="1"/>
  <c r="H8" s="1"/>
  <c r="F5"/>
  <c r="F6" s="1"/>
  <c r="F7" s="1"/>
  <c r="F8" s="1"/>
  <c r="F9" s="1"/>
  <c r="F10" s="1"/>
  <c r="C2"/>
  <c r="B10" i="7"/>
  <c r="F5" i="8"/>
  <c r="F6" s="1"/>
  <c r="F7" s="1"/>
  <c r="F8" s="1"/>
  <c r="F9" s="1"/>
  <c r="B13"/>
  <c r="B11"/>
  <c r="K5"/>
  <c r="K6" s="1"/>
  <c r="H5"/>
  <c r="H6" s="1"/>
  <c r="H7" s="1"/>
  <c r="C2"/>
  <c r="B14" i="7"/>
  <c r="K5"/>
  <c r="K6" s="1"/>
  <c r="K7" s="1"/>
  <c r="H5"/>
  <c r="F5"/>
  <c r="F6" s="1"/>
  <c r="C2"/>
  <c r="F7" i="16" l="1"/>
  <c r="F8" s="1"/>
  <c r="F9" s="1"/>
  <c r="C13" s="1"/>
  <c r="K7"/>
  <c r="K8" s="1"/>
  <c r="H7"/>
  <c r="H8" s="1"/>
  <c r="H9" s="1"/>
  <c r="B14" s="1"/>
  <c r="H9" i="9"/>
  <c r="H10" s="1"/>
  <c r="B14"/>
  <c r="H8" i="11"/>
  <c r="B14" s="1"/>
  <c r="H7" i="12"/>
  <c r="H8" s="1"/>
  <c r="H8" i="13"/>
  <c r="H9" s="1"/>
  <c r="H10" s="1"/>
  <c r="G2" i="11"/>
  <c r="H2" s="1"/>
  <c r="S2"/>
  <c r="F10" i="8"/>
  <c r="C42" s="1"/>
  <c r="G8" i="19"/>
  <c r="K8"/>
  <c r="H8"/>
  <c r="S2" i="8"/>
  <c r="G2" i="9"/>
  <c r="H2" s="1"/>
  <c r="K6" i="10"/>
  <c r="K7" s="1"/>
  <c r="K8" s="1"/>
  <c r="K9" s="1"/>
  <c r="K10" s="1"/>
  <c r="C13" i="9"/>
  <c r="H14" s="1"/>
  <c r="B12" i="15"/>
  <c r="C13"/>
  <c r="H14" s="1"/>
  <c r="B12" i="11"/>
  <c r="C13"/>
  <c r="H14" s="1"/>
  <c r="H14" i="12"/>
  <c r="C13" i="13"/>
  <c r="H14" s="1"/>
  <c r="G2" i="15"/>
  <c r="H2" s="1"/>
  <c r="B14"/>
  <c r="B12" i="19"/>
  <c r="C13"/>
  <c r="H14" s="1"/>
  <c r="B71" i="14"/>
  <c r="H75"/>
  <c r="G62"/>
  <c r="H62" s="1"/>
  <c r="B75"/>
  <c r="K6" i="13"/>
  <c r="K7" s="1"/>
  <c r="K8" s="1"/>
  <c r="K9" s="1"/>
  <c r="K10" s="1"/>
  <c r="K6" i="12"/>
  <c r="K7" s="1"/>
  <c r="K8" s="1"/>
  <c r="G14" i="15"/>
  <c r="E14"/>
  <c r="G75" i="14"/>
  <c r="E75"/>
  <c r="H6" i="7"/>
  <c r="H7" s="1"/>
  <c r="I14" i="13"/>
  <c r="I14" i="12"/>
  <c r="E14"/>
  <c r="G14" i="11"/>
  <c r="E14"/>
  <c r="H7" i="10"/>
  <c r="H8" s="1"/>
  <c r="H9" s="1"/>
  <c r="H10" s="1"/>
  <c r="F7"/>
  <c r="F8" s="1"/>
  <c r="F9" s="1"/>
  <c r="F10" s="1"/>
  <c r="G14" i="9"/>
  <c r="I14"/>
  <c r="E14"/>
  <c r="C13" i="8"/>
  <c r="K7"/>
  <c r="K8" s="1"/>
  <c r="H8"/>
  <c r="H9" s="1"/>
  <c r="K8" i="7"/>
  <c r="K9" s="1"/>
  <c r="K10" s="1"/>
  <c r="K11" s="1"/>
  <c r="K12" s="1"/>
  <c r="F7"/>
  <c r="F8" s="1"/>
  <c r="F9" s="1"/>
  <c r="F10" s="1"/>
  <c r="F11" s="1"/>
  <c r="F12" s="1"/>
  <c r="K9" i="16" l="1"/>
  <c r="B12"/>
  <c r="H43" i="8"/>
  <c r="I43"/>
  <c r="G43"/>
  <c r="E43"/>
  <c r="H14" i="16"/>
  <c r="G14"/>
  <c r="G2"/>
  <c r="H2" s="1"/>
  <c r="I14" i="15"/>
  <c r="E14" i="13"/>
  <c r="I14" i="11"/>
  <c r="G14" i="12"/>
  <c r="B12"/>
  <c r="G2" i="10"/>
  <c r="H2" s="1"/>
  <c r="G2" i="12"/>
  <c r="H2" s="1"/>
  <c r="B14"/>
  <c r="G2" i="19"/>
  <c r="H2" s="1"/>
  <c r="E14" i="16"/>
  <c r="K9" i="8"/>
  <c r="K10" s="1"/>
  <c r="B14" i="13"/>
  <c r="I14" i="16"/>
  <c r="B14" i="19"/>
  <c r="I14"/>
  <c r="G2" i="13"/>
  <c r="H2" s="1"/>
  <c r="B14" i="10"/>
  <c r="B12" i="13"/>
  <c r="G14"/>
  <c r="B12" i="10"/>
  <c r="C13"/>
  <c r="I75" i="14"/>
  <c r="H10" i="8"/>
  <c r="B43" s="1"/>
  <c r="E14" i="19"/>
  <c r="G14"/>
  <c r="B11" i="7"/>
  <c r="B12" i="8"/>
  <c r="B14"/>
  <c r="H8" i="7"/>
  <c r="G2" s="1"/>
  <c r="H2" s="1"/>
  <c r="H14" i="8"/>
  <c r="E14"/>
  <c r="I14"/>
  <c r="G14"/>
  <c r="C14" i="7"/>
  <c r="E53" i="2"/>
  <c r="F53" s="1"/>
  <c r="K54"/>
  <c r="D54" s="1"/>
  <c r="K24"/>
  <c r="D24" s="1"/>
  <c r="K33"/>
  <c r="D33" s="1"/>
  <c r="K43"/>
  <c r="D43" s="1"/>
  <c r="K15"/>
  <c r="K6"/>
  <c r="D6" s="1"/>
  <c r="G2" i="8" l="1"/>
  <c r="H2" s="1"/>
  <c r="H14" i="10"/>
  <c r="I14"/>
  <c r="E14"/>
  <c r="G14"/>
  <c r="H9" i="7"/>
  <c r="H10" s="1"/>
  <c r="H11" s="1"/>
  <c r="H12" s="1"/>
  <c r="I15"/>
  <c r="G15"/>
  <c r="H15"/>
  <c r="E15"/>
  <c r="B15" l="1"/>
  <c r="P76" i="14" l="1"/>
  <c r="S87" s="1"/>
  <c r="S67"/>
  <c r="O62" s="1"/>
  <c r="S62" s="1"/>
</calcChain>
</file>

<file path=xl/comments1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6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6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6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9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9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9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9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11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11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11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12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</commentList>
</comments>
</file>

<file path=xl/comments10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</commentList>
</comments>
</file>

<file path=xl/comments11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</commentList>
</comments>
</file>

<file path=xl/comments12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</commentList>
</comments>
</file>

<file path=xl/comments13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N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N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N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N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PREENCHER</t>
        </r>
      </text>
    </comment>
  </commentList>
</comments>
</file>

<file path=xl/sharedStrings.xml><?xml version="1.0" encoding="utf-8"?>
<sst xmlns="http://schemas.openxmlformats.org/spreadsheetml/2006/main" count="1007" uniqueCount="228">
  <si>
    <t>Última medição:</t>
  </si>
  <si>
    <t>Próxima medição:</t>
  </si>
  <si>
    <t>Contrato de Repasse:</t>
  </si>
  <si>
    <t>Empresa:</t>
  </si>
  <si>
    <t>Contrato de Execução:</t>
  </si>
  <si>
    <t>037/2016</t>
  </si>
  <si>
    <t>C.H. Roggia Construções Ltda</t>
  </si>
  <si>
    <t>806.858/2014</t>
  </si>
  <si>
    <t>Piscina térmica</t>
  </si>
  <si>
    <t>786.402/2013</t>
  </si>
  <si>
    <t>CFV Obras Públicas Ltda</t>
  </si>
  <si>
    <t>205/2014</t>
  </si>
  <si>
    <t>799.749/2013</t>
  </si>
  <si>
    <t>Pavimentação Rua Gaspar José de Freitas</t>
  </si>
  <si>
    <t>204/2014</t>
  </si>
  <si>
    <t>819.516/2015</t>
  </si>
  <si>
    <t>Pavimentação Av. Vitório Bolzan</t>
  </si>
  <si>
    <t>Pavimentadora Silva Eireli</t>
  </si>
  <si>
    <t>077/2016</t>
  </si>
  <si>
    <t>790.016/2013</t>
  </si>
  <si>
    <t>Pavimentação Rua Ivaldino Bolzan</t>
  </si>
  <si>
    <t>R.D. Construções</t>
  </si>
  <si>
    <t>192/2014</t>
  </si>
  <si>
    <t>Último prazo para conclusão:</t>
  </si>
  <si>
    <t>Pavim. Ruas T. Marquet, D. Possebon, S. Dumont e N.S. Calvário</t>
  </si>
  <si>
    <t>% de execução concluído:</t>
  </si>
  <si>
    <t>% de execução previsto para próximo BM:</t>
  </si>
  <si>
    <t>BM 06</t>
  </si>
  <si>
    <t>BM 05</t>
  </si>
  <si>
    <t>Obra atrasada. Já deveria estar concluída de acordo com o cronograma contratado.</t>
  </si>
  <si>
    <t>BM 07</t>
  </si>
  <si>
    <t>BM 08</t>
  </si>
  <si>
    <t>O BM 05 deveria atestar ao menos 52,55% de execução.</t>
  </si>
  <si>
    <t>BM 09</t>
  </si>
  <si>
    <t>O BM 05 deveria atestar a execução de 100% da obra.</t>
  </si>
  <si>
    <t>829.592/2016</t>
  </si>
  <si>
    <t>Ordem de início:</t>
  </si>
  <si>
    <t>BM 01</t>
  </si>
  <si>
    <t>Pavimentação ruas Lindolfo Streck, Pedro Pinheiro e Almiro Borges</t>
  </si>
  <si>
    <t>Rodrigo Souza de Vargas</t>
  </si>
  <si>
    <t>092/2017</t>
  </si>
  <si>
    <t>PROJEÇÕES DO CRONOGRAMA PARA OS BOLETINS DE MEDIÇÃO</t>
  </si>
  <si>
    <t xml:space="preserve">Na data de </t>
  </si>
  <si>
    <t>o</t>
  </si>
  <si>
    <t>deverá acumular</t>
  </si>
  <si>
    <t>de execução da obra, referente à parcela 1 do cronograma</t>
  </si>
  <si>
    <t>BM 02</t>
  </si>
  <si>
    <t>de execução da obra, referente à parcela 2 do cronograma</t>
  </si>
  <si>
    <t>BM 03</t>
  </si>
  <si>
    <t>de execução da obra, referente à parcela 3 do cronograma</t>
  </si>
  <si>
    <t>BM 04</t>
  </si>
  <si>
    <t>de execução da obra, referente à parcela 4 do cronograma</t>
  </si>
  <si>
    <t>≠ da projeção</t>
  </si>
  <si>
    <t>OBRA CONCLUÍDA</t>
  </si>
  <si>
    <t>Pavimentação estrada Albano Stumpf - Vila Rosa</t>
  </si>
  <si>
    <t>MARZARI &amp; MARZARI LTDA</t>
  </si>
  <si>
    <t>080/2019</t>
  </si>
  <si>
    <t>Empresa Contratada:</t>
  </si>
  <si>
    <t>BM</t>
  </si>
  <si>
    <t>% PREVISTO</t>
  </si>
  <si>
    <t>DATA ENTREGUE</t>
  </si>
  <si>
    <t>DATA PREVISTA</t>
  </si>
  <si>
    <t>% EXECUTADO</t>
  </si>
  <si>
    <t>ACUMULADO</t>
  </si>
  <si>
    <t>PROJEÇÃO DO CONTRATO</t>
  </si>
  <si>
    <t>EXECUÇÃO DO CONTRATO</t>
  </si>
  <si>
    <t>Último Boletim de Medição:</t>
  </si>
  <si>
    <t>Próximo Boletim de Medição:</t>
  </si>
  <si>
    <r>
      <rPr>
        <sz val="12"/>
        <color theme="0"/>
        <rFont val="Calibri"/>
        <family val="2"/>
        <scheme val="minor"/>
      </rPr>
      <t>≠</t>
    </r>
    <r>
      <rPr>
        <sz val="8"/>
        <color theme="0"/>
        <rFont val="Calibri"/>
        <family val="2"/>
        <scheme val="minor"/>
      </rPr>
      <t xml:space="preserve"> da projeção:</t>
    </r>
  </si>
  <si>
    <t>Prazo para conclusão:</t>
  </si>
  <si>
    <t>857.224/2017</t>
  </si>
  <si>
    <t>Construção do Centro de Referência da Assistência Social</t>
  </si>
  <si>
    <t>148/2018</t>
  </si>
  <si>
    <t>CONSTRUTORA AGUDENSE LTDA</t>
  </si>
  <si>
    <t>831.654/2016</t>
  </si>
  <si>
    <t>Construção de arquibancadas no estádio Sebastião Herédia Borges</t>
  </si>
  <si>
    <t>CONSTRUTORA ÔNIX TBK LTDA</t>
  </si>
  <si>
    <t>080/2018</t>
  </si>
  <si>
    <t>164/2018</t>
  </si>
  <si>
    <t>Convênio FPE SEDACTEL</t>
  </si>
  <si>
    <t>2256/2018</t>
  </si>
  <si>
    <t>Reforma do prédio da estação férrea</t>
  </si>
  <si>
    <t>159/2019</t>
  </si>
  <si>
    <t>LUIZ AUGUSTO DE LIMA DE OLIVEIRA</t>
  </si>
  <si>
    <t>% de evolução mínimo para próximo BM:</t>
  </si>
  <si>
    <t>866.338/2018</t>
  </si>
  <si>
    <t>Processo de Licitação:</t>
  </si>
  <si>
    <t>TP 006/2018</t>
  </si>
  <si>
    <t>Valor contratado (R$):</t>
  </si>
  <si>
    <r>
      <rPr>
        <b/>
        <sz val="11"/>
        <color theme="1"/>
        <rFont val="Calibri"/>
        <family val="2"/>
        <scheme val="minor"/>
      </rPr>
      <t>Na nota fiscal deverá constar as seguintes informações:</t>
    </r>
    <r>
      <rPr>
        <sz val="11"/>
        <color theme="1"/>
        <rFont val="Calibri"/>
        <family val="2"/>
        <scheme val="minor"/>
      </rPr>
      <t xml:space="preserve">
a) Número do boletim de medição;
b) Contrato de execução nº 148/2018;
c) Contrato de Repasse MC 857224/2017 - PROGRAMA DE PROTEÇÃO SOCIAL BÁSICA</t>
    </r>
  </si>
  <si>
    <t>TP 002/2019</t>
  </si>
  <si>
    <r>
      <rPr>
        <b/>
        <sz val="11"/>
        <color theme="1"/>
        <rFont val="Calibri"/>
        <family val="2"/>
        <scheme val="minor"/>
      </rPr>
      <t>Na nota fiscal deverá constar as seguintes informações:</t>
    </r>
    <r>
      <rPr>
        <sz val="11"/>
        <color theme="1"/>
        <rFont val="Calibri"/>
        <family val="2"/>
        <scheme val="minor"/>
      </rPr>
      <t xml:space="preserve">
a) Número do boletim de medição;
b) Contrato de execução nº 080/2019;
c) Contrato de Repasse MDR 866338/2018 - PROGRAMA PLANEJAMENTO URBANO</t>
    </r>
  </si>
  <si>
    <t>CP 003/2018</t>
  </si>
  <si>
    <r>
      <rPr>
        <b/>
        <sz val="11"/>
        <color theme="1"/>
        <rFont val="Calibri"/>
        <family val="2"/>
        <scheme val="minor"/>
      </rPr>
      <t>Na nota fiscal deverá constar as seguintes informações:</t>
    </r>
    <r>
      <rPr>
        <sz val="11"/>
        <color theme="1"/>
        <rFont val="Calibri"/>
        <family val="2"/>
        <scheme val="minor"/>
      </rPr>
      <t xml:space="preserve">
a) Número do boletim de medição;
b) Contrato de execução nº 080/2018;
c) Contrato de Repasse MC 831654/2016 - PROGRAMA ESPORTE E GRANDES EVENTOS ESPORTIVOS</t>
    </r>
  </si>
  <si>
    <t>CP 007/2019</t>
  </si>
  <si>
    <t>Prazo de execução (em dias):</t>
  </si>
  <si>
    <t>Dias já prorrogados:</t>
  </si>
  <si>
    <r>
      <rPr>
        <b/>
        <sz val="11"/>
        <color theme="1"/>
        <rFont val="Calibri"/>
        <family val="2"/>
        <scheme val="minor"/>
      </rPr>
      <t>Na nota fiscal deverá constar as seguintes informações:</t>
    </r>
    <r>
      <rPr>
        <sz val="11"/>
        <color theme="1"/>
        <rFont val="Calibri"/>
        <family val="2"/>
        <scheme val="minor"/>
      </rPr>
      <t xml:space="preserve">
a) Número do boletim de medição;
b) Contrato de execução nº 159/2019;
c) Convênio SEDACTEL nº 164/2018 - FPE 2256/2018 - Sistema Estadual de Participação Popular.</t>
    </r>
  </si>
  <si>
    <t>Contrato de Repasse</t>
  </si>
  <si>
    <t>033/2020</t>
  </si>
  <si>
    <t>TP 001/2020</t>
  </si>
  <si>
    <t>RODRIGO SOUZA DE VARGAS &amp; CIA LTDA</t>
  </si>
  <si>
    <t>881.873/2018</t>
  </si>
  <si>
    <t>Ampliação da infraestrutura esportiva do Estádio Sebastião Heredia Borges</t>
  </si>
  <si>
    <r>
      <rPr>
        <b/>
        <sz val="11"/>
        <color theme="1"/>
        <rFont val="Calibri"/>
        <family val="2"/>
        <scheme val="minor"/>
      </rPr>
      <t>Na nota fiscal deverá constar as seguintes informações:</t>
    </r>
    <r>
      <rPr>
        <sz val="11"/>
        <color theme="1"/>
        <rFont val="Calibri"/>
        <family val="2"/>
        <scheme val="minor"/>
      </rPr>
      <t xml:space="preserve">
a) Número do boletim de medição;
b) Contrato de execução nº 033/2020;
c) Contrato de Repasse OGU MC 881873/2018 - Esporte e Grandes Eventos Esportivos.</t>
    </r>
  </si>
  <si>
    <t>10º Termo Aditivo - suprime R$ 21.967,98 do contrato. 11º Termo Aditivo - suprime R$ 2.228,24 do contrato. Portanto, obra concluída ao atingir 86,39%.</t>
  </si>
  <si>
    <t>OBRA ATRASOU</t>
  </si>
  <si>
    <t>878.460/2018</t>
  </si>
  <si>
    <t>Revitalização do entorno e pavimentação do acesso na Estação Férrea</t>
  </si>
  <si>
    <t>036/2020</t>
  </si>
  <si>
    <t>CP 001/2020</t>
  </si>
  <si>
    <t>CONSTRUTORA AGUDENSE LTDA - ME</t>
  </si>
  <si>
    <r>
      <rPr>
        <b/>
        <sz val="11"/>
        <color theme="1"/>
        <rFont val="Calibri"/>
        <family val="2"/>
        <scheme val="minor"/>
      </rPr>
      <t>Na nota fiscal deverá constar as seguintes informações:</t>
    </r>
    <r>
      <rPr>
        <sz val="11"/>
        <color theme="1"/>
        <rFont val="Calibri"/>
        <family val="2"/>
        <scheme val="minor"/>
      </rPr>
      <t xml:space="preserve">
a) Número do boletim de medição;
b) Contrato de execução nº 036/2020;
c) Contrato de Repasse OGU MTUR 878460/2018 - Apoio a projetos de infraestrutura turística.</t>
    </r>
  </si>
  <si>
    <r>
      <rPr>
        <b/>
        <sz val="11"/>
        <color theme="1"/>
        <rFont val="Calibri"/>
        <family val="2"/>
        <scheme val="minor"/>
      </rPr>
      <t xml:space="preserve">Na nota fiscal deverá constar as seguintes informações:
</t>
    </r>
    <r>
      <rPr>
        <sz val="11"/>
        <color theme="1"/>
        <rFont val="Calibri"/>
        <family val="2"/>
        <scheme val="minor"/>
      </rPr>
      <t>a) Número do boletim de medição;
b) Número do Empenho;
b) Contrato de execução nº 052/2020;
c) Contrato de Financiamento nº 0531.415-57/2020 - FINISA Restinga Sêca.</t>
    </r>
  </si>
  <si>
    <t>Contrato de Financiamento</t>
  </si>
  <si>
    <t>531.415-57/2020</t>
  </si>
  <si>
    <t>Pavimentação de vias urbanas - FINISA Etapa 01</t>
  </si>
  <si>
    <t>052/2020</t>
  </si>
  <si>
    <t>TP 006/2020</t>
  </si>
  <si>
    <t>885.736/2019</t>
  </si>
  <si>
    <t>889.314/2019</t>
  </si>
  <si>
    <t>888.329/2019</t>
  </si>
  <si>
    <t>TP 003/2020</t>
  </si>
  <si>
    <t>047/2020</t>
  </si>
  <si>
    <t>Pavimentação das ruas José Burmann, Médium Chico Xavier e Arthur Scheffel</t>
  </si>
  <si>
    <r>
      <rPr>
        <b/>
        <sz val="11"/>
        <color theme="1"/>
        <rFont val="Calibri"/>
        <family val="2"/>
        <scheme val="minor"/>
      </rPr>
      <t>Na nota fiscal deverá constar as seguintes informações:</t>
    </r>
    <r>
      <rPr>
        <sz val="11"/>
        <color theme="1"/>
        <rFont val="Calibri"/>
        <family val="2"/>
        <scheme val="minor"/>
      </rPr>
      <t xml:space="preserve">
a) Número do boletim de medição;
b) Contrato de execução nº 047/2020;
c) Contrato de Repasse OGU MDR 885736/2019 - Planejamento urbano.</t>
    </r>
  </si>
  <si>
    <t>TP 004/2020</t>
  </si>
  <si>
    <t>049/2020</t>
  </si>
  <si>
    <t>Pavimentação da rua Antonio Belamir Fontana</t>
  </si>
  <si>
    <r>
      <rPr>
        <b/>
        <sz val="11"/>
        <color theme="1"/>
        <rFont val="Calibri"/>
        <family val="2"/>
        <scheme val="minor"/>
      </rPr>
      <t>Na nota fiscal deverá constar as seguintes informações:</t>
    </r>
    <r>
      <rPr>
        <sz val="11"/>
        <color theme="1"/>
        <rFont val="Calibri"/>
        <family val="2"/>
        <scheme val="minor"/>
      </rPr>
      <t xml:space="preserve">
a) Número do boletim de medição;
b) Contrato de execução nº 049/2020;
c) Contrato de Repasse OGU MDR 889314/2019 - Planejamento urbano.</t>
    </r>
  </si>
  <si>
    <t>TP 005/2020</t>
  </si>
  <si>
    <t>Pavimentação das ruas Antonio Belamir Fontana, Soldado Pedro Senna e José Burmann</t>
  </si>
  <si>
    <r>
      <rPr>
        <b/>
        <sz val="11"/>
        <color theme="1"/>
        <rFont val="Calibri"/>
        <family val="2"/>
        <scheme val="minor"/>
      </rPr>
      <t>Na nota fiscal deverá constar as seguintes informações:</t>
    </r>
    <r>
      <rPr>
        <sz val="11"/>
        <color theme="1"/>
        <rFont val="Calibri"/>
        <family val="2"/>
        <scheme val="minor"/>
      </rPr>
      <t xml:space="preserve">
a) Número do boletim de medição;
b) Contrato de execução nº 048/2020;
c) Contrato de Repasse OGU MDR 888329/2019 - Planejamento urbano.</t>
    </r>
  </si>
  <si>
    <t>048/2020</t>
  </si>
  <si>
    <r>
      <rPr>
        <b/>
        <sz val="11"/>
        <color theme="1"/>
        <rFont val="Calibri"/>
        <family val="2"/>
        <scheme val="minor"/>
      </rPr>
      <t>BM 01 - Pagamento parcial da NF 006.</t>
    </r>
    <r>
      <rPr>
        <sz val="11"/>
        <color theme="1"/>
        <rFont val="Calibri"/>
        <family val="2"/>
        <scheme val="minor"/>
      </rPr>
      <t xml:space="preserve"> Valor: R$ 44.795,29.</t>
    </r>
  </si>
  <si>
    <r>
      <rPr>
        <b/>
        <sz val="11"/>
        <color theme="1"/>
        <rFont val="Calibri"/>
        <family val="2"/>
        <scheme val="minor"/>
      </rPr>
      <t>BM 02 - Pagamento da NF 202000000000015.</t>
    </r>
    <r>
      <rPr>
        <sz val="11"/>
        <color theme="1"/>
        <rFont val="Calibri"/>
        <family val="2"/>
        <scheme val="minor"/>
      </rPr>
      <t xml:space="preserve"> Valor: R$ 13.169,81.</t>
    </r>
  </si>
  <si>
    <r>
      <rPr>
        <b/>
        <sz val="11"/>
        <color theme="1"/>
        <rFont val="Calibri"/>
        <family val="2"/>
        <scheme val="minor"/>
      </rPr>
      <t>BM 01 - Conclusão do pagamento da NF 006.</t>
    </r>
    <r>
      <rPr>
        <sz val="11"/>
        <color theme="1"/>
        <rFont val="Calibri"/>
        <family val="2"/>
        <scheme val="minor"/>
      </rPr>
      <t xml:space="preserve"> Valor: R$ 39.461,08.</t>
    </r>
  </si>
  <si>
    <r>
      <rPr>
        <b/>
        <sz val="9"/>
        <color theme="1"/>
        <rFont val="Calibri"/>
        <family val="2"/>
        <scheme val="minor"/>
      </rPr>
      <t>BM 02 - Conclusão do pagamento da NF 202000000000016.</t>
    </r>
    <r>
      <rPr>
        <sz val="9"/>
        <color theme="1"/>
        <rFont val="Calibri"/>
        <family val="2"/>
        <scheme val="minor"/>
      </rPr>
      <t xml:space="preserve"> Valor: R$ 5.786,24.</t>
    </r>
  </si>
  <si>
    <r>
      <t>BM 02 - Pagamento parcial da NF 202000000000016.</t>
    </r>
    <r>
      <rPr>
        <sz val="9"/>
        <color theme="1"/>
        <rFont val="Calibri"/>
        <family val="2"/>
        <scheme val="minor"/>
      </rPr>
      <t xml:space="preserve"> Valor: R$ 36.511,96.</t>
    </r>
  </si>
  <si>
    <t>Pagamentos:</t>
  </si>
  <si>
    <r>
      <rPr>
        <b/>
        <sz val="11"/>
        <color theme="1"/>
        <rFont val="Calibri"/>
        <family val="2"/>
        <scheme val="minor"/>
      </rPr>
      <t>BM 03 - Pagamento da NF 414.</t>
    </r>
    <r>
      <rPr>
        <sz val="11"/>
        <color theme="1"/>
        <rFont val="Calibri"/>
        <family val="2"/>
        <scheme val="minor"/>
      </rPr>
      <t xml:space="preserve"> Valor: R$ 20.066,29.</t>
    </r>
  </si>
  <si>
    <r>
      <rPr>
        <b/>
        <sz val="11"/>
        <color theme="1"/>
        <rFont val="Calibri"/>
        <family val="2"/>
        <scheme val="minor"/>
      </rPr>
      <t>BM 04 - Pagamento da NF 435.</t>
    </r>
    <r>
      <rPr>
        <sz val="11"/>
        <color theme="1"/>
        <rFont val="Calibri"/>
        <family val="2"/>
        <scheme val="minor"/>
      </rPr>
      <t xml:space="preserve"> Valor: R$ 37.132,91.</t>
    </r>
  </si>
  <si>
    <r>
      <rPr>
        <b/>
        <sz val="11"/>
        <color theme="1"/>
        <rFont val="Calibri"/>
        <family val="2"/>
        <scheme val="minor"/>
      </rPr>
      <t>BM 01 - Conclusão do pagamento da NF 357.</t>
    </r>
    <r>
      <rPr>
        <sz val="11"/>
        <color theme="1"/>
        <rFont val="Calibri"/>
        <family val="2"/>
        <scheme val="minor"/>
      </rPr>
      <t xml:space="preserve"> Valor: R$ 3.843,66.</t>
    </r>
  </si>
  <si>
    <r>
      <rPr>
        <b/>
        <sz val="11"/>
        <color theme="1"/>
        <rFont val="Calibri"/>
        <family val="2"/>
        <scheme val="minor"/>
      </rPr>
      <t>BM 02 - Pagamento da NF 360.</t>
    </r>
    <r>
      <rPr>
        <sz val="11"/>
        <color theme="1"/>
        <rFont val="Calibri"/>
        <family val="2"/>
        <scheme val="minor"/>
      </rPr>
      <t xml:space="preserve"> Valor: R$ 89.048,37.</t>
    </r>
  </si>
  <si>
    <r>
      <rPr>
        <b/>
        <sz val="11"/>
        <color theme="1"/>
        <rFont val="Calibri"/>
        <family val="2"/>
        <scheme val="minor"/>
      </rPr>
      <t>BM 01 - Pagamento parcial da NF 357.</t>
    </r>
    <r>
      <rPr>
        <sz val="11"/>
        <color theme="1"/>
        <rFont val="Calibri"/>
        <family val="2"/>
        <scheme val="minor"/>
      </rPr>
      <t xml:space="preserve"> Valor: R$ 70.085,25.</t>
    </r>
  </si>
  <si>
    <r>
      <rPr>
        <b/>
        <sz val="11"/>
        <color theme="1"/>
        <rFont val="Calibri"/>
        <family val="2"/>
        <scheme val="minor"/>
      </rPr>
      <t>BM 03 - Pagamento da NF 023.</t>
    </r>
    <r>
      <rPr>
        <sz val="11"/>
        <color theme="1"/>
        <rFont val="Calibri"/>
        <family val="2"/>
        <scheme val="minor"/>
      </rPr>
      <t xml:space="preserve"> Valor: R$ 69.735,90.</t>
    </r>
  </si>
  <si>
    <r>
      <rPr>
        <b/>
        <sz val="11"/>
        <color theme="1"/>
        <rFont val="Calibri"/>
        <family val="2"/>
        <scheme val="minor"/>
      </rPr>
      <t>BM 02 - Pagamento da NF 016.</t>
    </r>
    <r>
      <rPr>
        <sz val="11"/>
        <color theme="1"/>
        <rFont val="Calibri"/>
        <family val="2"/>
        <scheme val="minor"/>
      </rPr>
      <t xml:space="preserve"> Valor: R$ 57.491,63.</t>
    </r>
  </si>
  <si>
    <r>
      <rPr>
        <b/>
        <sz val="11"/>
        <color theme="1"/>
        <rFont val="Calibri"/>
        <family val="2"/>
        <scheme val="minor"/>
      </rPr>
      <t xml:space="preserve">BM 01 - Pagamento da NF 009. </t>
    </r>
    <r>
      <rPr>
        <sz val="11"/>
        <color theme="1"/>
        <rFont val="Calibri"/>
        <family val="2"/>
        <scheme val="minor"/>
      </rPr>
      <t>Valor: R$ 15.447,14.</t>
    </r>
  </si>
  <si>
    <t>893.271/2019</t>
  </si>
  <si>
    <t>Pavimentação ruas Vicente Cardoso, Emilio Nagel e Av. Alberto Pasqualini</t>
  </si>
  <si>
    <t>TP 011/2020</t>
  </si>
  <si>
    <t>061/2020</t>
  </si>
  <si>
    <t xml:space="preserve">CIMENTEC </t>
  </si>
  <si>
    <r>
      <rPr>
        <b/>
        <sz val="11"/>
        <color theme="1"/>
        <rFont val="Calibri"/>
        <family val="2"/>
        <scheme val="minor"/>
      </rPr>
      <t>Na nota fiscal deverá constar as seguintes informações:</t>
    </r>
    <r>
      <rPr>
        <sz val="11"/>
        <color theme="1"/>
        <rFont val="Calibri"/>
        <family val="2"/>
        <scheme val="minor"/>
      </rPr>
      <t xml:space="preserve">
a) Número do boletim de medição;
b) Contrato de execução nº 061/2020;
c) Contrato de Repasse OGU MDR 893271/2019 - Planejamento urbano.</t>
    </r>
  </si>
  <si>
    <t>Pavimentação de vias urbanas - FINISA Etapa 02</t>
  </si>
  <si>
    <t>Pavimentação de vias urbanas - FINISA Etapa 03</t>
  </si>
  <si>
    <t>TP 007/2020</t>
  </si>
  <si>
    <t>059/2020</t>
  </si>
  <si>
    <r>
      <rPr>
        <b/>
        <sz val="11"/>
        <color theme="1"/>
        <rFont val="Calibri"/>
        <family val="2"/>
        <scheme val="minor"/>
      </rPr>
      <t xml:space="preserve">Na nota fiscal deverá constar as seguintes informações:
</t>
    </r>
    <r>
      <rPr>
        <sz val="11"/>
        <color theme="1"/>
        <rFont val="Calibri"/>
        <family val="2"/>
        <scheme val="minor"/>
      </rPr>
      <t>a) Número do boletim de medição;
b) Número do Empenho;
b) Contrato de execução nº 059/2020;
c) Contrato de Financiamento nº 0531.415-57/2020 - FINISA Restinga Sêca.</t>
    </r>
  </si>
  <si>
    <t>060/2020</t>
  </si>
  <si>
    <t>TP 010/2020</t>
  </si>
  <si>
    <r>
      <rPr>
        <b/>
        <sz val="11"/>
        <color theme="1"/>
        <rFont val="Calibri"/>
        <family val="2"/>
        <scheme val="minor"/>
      </rPr>
      <t xml:space="preserve">Na nota fiscal deverá constar as seguintes informações:
</t>
    </r>
    <r>
      <rPr>
        <sz val="11"/>
        <color theme="1"/>
        <rFont val="Calibri"/>
        <family val="2"/>
        <scheme val="minor"/>
      </rPr>
      <t>a) Número do boletim de medição;
b) Número do Empenho;
b) Contrato de execução nº 060/2020;
c) Contrato de Financiamento nº 0531.415-57/2020 - FINISA Restinga Sêca.</t>
    </r>
  </si>
  <si>
    <t>DIAS EM RELAÇÃO AO CRONOGRAMA</t>
  </si>
  <si>
    <t>EM</t>
  </si>
  <si>
    <t>Construção cobertura da arquibancada do estádio Sebastião Herédia Borges</t>
  </si>
  <si>
    <r>
      <rPr>
        <b/>
        <sz val="11"/>
        <color theme="1"/>
        <rFont val="Calibri"/>
        <family val="2"/>
        <scheme val="minor"/>
      </rPr>
      <t>BM 01 - Pagamento da NF 030.341.828.</t>
    </r>
    <r>
      <rPr>
        <sz val="11"/>
        <color theme="1"/>
        <rFont val="Calibri"/>
        <family val="2"/>
        <scheme val="minor"/>
      </rPr>
      <t xml:space="preserve"> Valor: R$ 132.929,54.</t>
    </r>
  </si>
  <si>
    <r>
      <rPr>
        <b/>
        <sz val="11"/>
        <color theme="1"/>
        <rFont val="Calibri"/>
        <family val="2"/>
        <scheme val="minor"/>
      </rPr>
      <t>BM 01 - Pagamento da NF 202000000000004.</t>
    </r>
    <r>
      <rPr>
        <sz val="11"/>
        <color theme="1"/>
        <rFont val="Calibri"/>
        <family val="2"/>
        <scheme val="minor"/>
      </rPr>
      <t xml:space="preserve"> Valor: R$ 56.969,80.</t>
    </r>
  </si>
  <si>
    <t>FISCAL: EWERTON AMORIM</t>
  </si>
  <si>
    <t>FISCAL: LUIZ GUSTAVO BRENNER DA SILVEIRA</t>
  </si>
  <si>
    <t>FISCAL: LEÔNIDAS CARVALHO CARDOSO</t>
  </si>
  <si>
    <t>Na nota fiscal deverá constar as seguintes informações:
a) Número do boletim de medição;
b) Número do Empenho;
b) Contrato de execução nº 092/2020;
c) Contrato de Financiamento nº 0531.415-57/2020 - FINISA Restinga Sêca.</t>
  </si>
  <si>
    <t>092/2020</t>
  </si>
  <si>
    <t>TP 012/2020</t>
  </si>
  <si>
    <t>Pavimentação de vias urbanas - FINISA Etapa 04</t>
  </si>
  <si>
    <r>
      <rPr>
        <b/>
        <sz val="11"/>
        <color theme="1"/>
        <rFont val="Calibri"/>
        <family val="2"/>
        <scheme val="minor"/>
      </rPr>
      <t>BM 01 - Pagamento da NF 123.</t>
    </r>
    <r>
      <rPr>
        <sz val="11"/>
        <color theme="1"/>
        <rFont val="Calibri"/>
        <family val="2"/>
        <scheme val="minor"/>
      </rPr>
      <t xml:space="preserve"> Valor: R$ 26.430,60.</t>
    </r>
  </si>
  <si>
    <r>
      <rPr>
        <b/>
        <sz val="11"/>
        <color theme="1"/>
        <rFont val="Calibri"/>
        <family val="2"/>
        <scheme val="minor"/>
      </rPr>
      <t>BM 01 - Pagamento da NF 30.626.815.</t>
    </r>
    <r>
      <rPr>
        <sz val="11"/>
        <color theme="1"/>
        <rFont val="Calibri"/>
        <family val="2"/>
        <scheme val="minor"/>
      </rPr>
      <t xml:space="preserve"> Valor: R$ 145.932,44.</t>
    </r>
  </si>
  <si>
    <r>
      <rPr>
        <b/>
        <sz val="11"/>
        <color theme="1"/>
        <rFont val="Calibri"/>
        <family val="2"/>
        <scheme val="minor"/>
      </rPr>
      <t>BM 01 - Pagamento da NF 20.200.007.</t>
    </r>
    <r>
      <rPr>
        <sz val="11"/>
        <color theme="1"/>
        <rFont val="Calibri"/>
        <family val="2"/>
        <scheme val="minor"/>
      </rPr>
      <t xml:space="preserve"> Valor: R$ 62.542,48.</t>
    </r>
  </si>
  <si>
    <r>
      <t>BM 02 - Pagamento da NF 031.519.027.</t>
    </r>
    <r>
      <rPr>
        <sz val="11"/>
        <color theme="1"/>
        <rFont val="Calibri"/>
        <family val="2"/>
        <scheme val="minor"/>
      </rPr>
      <t xml:space="preserve"> Valor: R$ 77.163,60.</t>
    </r>
  </si>
  <si>
    <r>
      <t>BM 02 - Pagamento da NF 202000000000015.</t>
    </r>
    <r>
      <rPr>
        <sz val="11"/>
        <color theme="1"/>
        <rFont val="Calibri"/>
        <family val="2"/>
        <scheme val="minor"/>
      </rPr>
      <t xml:space="preserve"> Valor: R$ 33.070,11.</t>
    </r>
  </si>
  <si>
    <t>Controle da conta do convênio</t>
  </si>
  <si>
    <t>Saldo em conta:</t>
  </si>
  <si>
    <t>Repasse</t>
  </si>
  <si>
    <t>Contrapartida</t>
  </si>
  <si>
    <t>Ingressos de recurso</t>
  </si>
  <si>
    <t>Falta depositar</t>
  </si>
  <si>
    <t>Valores realizados</t>
  </si>
  <si>
    <t>Pagamentos realizados</t>
  </si>
  <si>
    <t>Data</t>
  </si>
  <si>
    <t>Pagto total</t>
  </si>
  <si>
    <t>Saldo total:</t>
  </si>
  <si>
    <t>Referente ao BM</t>
  </si>
  <si>
    <t>Parcial ou total</t>
  </si>
  <si>
    <t>Nº Nota Fiscal</t>
  </si>
  <si>
    <t>Total pago até hoje:</t>
  </si>
  <si>
    <t>Valores conveniados</t>
  </si>
  <si>
    <t>Emenda</t>
  </si>
  <si>
    <t>Dep. Osmar Terra</t>
  </si>
  <si>
    <t>Parcial</t>
  </si>
  <si>
    <t>Total</t>
  </si>
  <si>
    <t>Dep. Marcio Biolchi</t>
  </si>
  <si>
    <t>Sen. Luis Carlos Heinze</t>
  </si>
  <si>
    <t>Dep. José Otávio Germano</t>
  </si>
  <si>
    <t>Tipo de garantia</t>
  </si>
  <si>
    <t>SEGURO</t>
  </si>
  <si>
    <t>CAUÇÃO</t>
  </si>
  <si>
    <t>Vigente 11/12/20</t>
  </si>
  <si>
    <r>
      <rPr>
        <b/>
        <sz val="11"/>
        <color theme="1"/>
        <rFont val="Calibri"/>
        <family val="2"/>
        <scheme val="minor"/>
      </rPr>
      <t>Na nota fiscal deverá constar as seguintes informações:</t>
    </r>
    <r>
      <rPr>
        <sz val="11"/>
        <color theme="1"/>
        <rFont val="Calibri"/>
        <family val="2"/>
        <scheme val="minor"/>
      </rPr>
      <t xml:space="preserve">
a) Número do boletim de medição;
b) Contrato de execução nº 119/2020;
c) Contrato de Repasse MC 831654/2016 - PROGRAMA ESPORTE E GRANDES EVENTOS ESPORTIVOS</t>
    </r>
  </si>
  <si>
    <t>119/2020</t>
  </si>
  <si>
    <t>TP 014/2020</t>
  </si>
  <si>
    <t xml:space="preserve"> </t>
  </si>
  <si>
    <t>Contrato Exec | Data vigência</t>
  </si>
  <si>
    <t>Tipo garantia  | Data vigência</t>
  </si>
  <si>
    <t>CAPINAMES PRESTADORA DE SERVIÇOS EIRELI</t>
  </si>
  <si>
    <t>METALÚRGICA MARIANO LTDA</t>
  </si>
  <si>
    <t>049/2021</t>
  </si>
  <si>
    <t>CP 002/2021</t>
  </si>
  <si>
    <r>
      <rPr>
        <b/>
        <sz val="11"/>
        <color theme="1"/>
        <rFont val="Calibri"/>
        <family val="2"/>
        <scheme val="minor"/>
      </rPr>
      <t xml:space="preserve">Na nota fiscal deverá constar as seguintes informações:
</t>
    </r>
    <r>
      <rPr>
        <sz val="11"/>
        <color theme="1"/>
        <rFont val="Calibri"/>
        <family val="2"/>
        <scheme val="minor"/>
      </rPr>
      <t>a) Número do boletim de medição;
b) Número do Empenho;
b) Contrato de execução nº 049/2021;
c) Contrato de Financiamento nº 0531.415-57/2020 - FINISA Restinga Sêca.</t>
    </r>
  </si>
  <si>
    <t>Pavimentação de vias urbanas - FINISA Etapa 05</t>
  </si>
  <si>
    <t>TP 003/2021</t>
  </si>
  <si>
    <r>
      <t xml:space="preserve">Pavimentação de vias urbanas - FINISA Etapa 06 - </t>
    </r>
    <r>
      <rPr>
        <b/>
        <i/>
        <sz val="11"/>
        <color rgb="FFFF0000"/>
        <rFont val="Calibri"/>
        <family val="2"/>
        <scheme val="minor"/>
      </rPr>
      <t>Rua Adão Mário de O. Dorneles</t>
    </r>
  </si>
  <si>
    <r>
      <t xml:space="preserve">Pavimentação de vias urbanas - FINISA Etapa 06 - </t>
    </r>
    <r>
      <rPr>
        <b/>
        <i/>
        <sz val="11"/>
        <color rgb="FFFF0000"/>
        <rFont val="Calibri"/>
        <family val="2"/>
        <scheme val="minor"/>
      </rPr>
      <t>Rua Ernesto Friedrich</t>
    </r>
  </si>
  <si>
    <t>Valor contratado | Aditivos (R$)</t>
  </si>
  <si>
    <t>PGL CONSTRUTORA LTDA</t>
  </si>
  <si>
    <t>059/2021</t>
  </si>
  <si>
    <t>060/2021</t>
  </si>
  <si>
    <r>
      <rPr>
        <b/>
        <sz val="11"/>
        <color theme="1"/>
        <rFont val="Calibri"/>
        <family val="2"/>
        <scheme val="minor"/>
      </rPr>
      <t xml:space="preserve">Na nota fiscal deverá constar as seguintes informações:
</t>
    </r>
    <r>
      <rPr>
        <sz val="11"/>
        <color theme="1"/>
        <rFont val="Calibri"/>
        <family val="2"/>
        <scheme val="minor"/>
      </rPr>
      <t>a) Número do boletim de medição;
b) Número do Empenho;
b) Contrato de execução nº 059/2021;
c) Contrato de Financiamento nº 0531.415-57/2020 - FINISA Restinga Sêca.</t>
    </r>
  </si>
  <si>
    <r>
      <rPr>
        <b/>
        <sz val="11"/>
        <color theme="1"/>
        <rFont val="Calibri"/>
        <family val="2"/>
        <scheme val="minor"/>
      </rPr>
      <t xml:space="preserve">Na nota fiscal deverá constar as seguintes informações:
</t>
    </r>
    <r>
      <rPr>
        <sz val="11"/>
        <color theme="1"/>
        <rFont val="Calibri"/>
        <family val="2"/>
        <scheme val="minor"/>
      </rPr>
      <t>a) Número do boletim de medição;
b) Número do Empenho;
b) Contrato de execução nº 060/2021;
c) Contrato de Financiamento nº 0531.415-57/2020 - FINISA Restinga Sêca.</t>
    </r>
  </si>
  <si>
    <t>VENCIDO</t>
  </si>
</sst>
</file>

<file path=xl/styles.xml><?xml version="1.0" encoding="utf-8"?>
<styleSheet xmlns="http://schemas.openxmlformats.org/spreadsheetml/2006/main">
  <numFmts count="2">
    <numFmt numFmtId="44" formatCode="_ &quot;R$&quot;\ * #,##0.00_ ;_ &quot;R$&quot;\ * \-#,##0.00_ ;_ &quot;R$&quot;\ * &quot;-&quot;??_ ;_ @_ "/>
    <numFmt numFmtId="164" formatCode="00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6.5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indexed="64"/>
      </right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indexed="64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64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/>
    <xf numFmtId="0" fontId="1" fillId="0" borderId="2" xfId="0" applyFont="1" applyBorder="1"/>
    <xf numFmtId="1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/>
    <xf numFmtId="14" fontId="3" fillId="0" borderId="10" xfId="0" applyNumberFormat="1" applyFont="1" applyBorder="1" applyAlignment="1">
      <alignment horizontal="center"/>
    </xf>
    <xf numFmtId="0" fontId="1" fillId="0" borderId="0" xfId="0" applyFont="1" applyBorder="1"/>
    <xf numFmtId="14" fontId="0" fillId="0" borderId="0" xfId="0" applyNumberFormat="1" applyFill="1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2" xfId="0" applyBorder="1"/>
    <xf numFmtId="14" fontId="0" fillId="0" borderId="10" xfId="0" applyNumberFormat="1" applyFill="1" applyBorder="1" applyAlignment="1">
      <alignment horizontal="center"/>
    </xf>
    <xf numFmtId="10" fontId="0" fillId="0" borderId="10" xfId="1" applyNumberFormat="1" applyFont="1" applyBorder="1"/>
    <xf numFmtId="14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5" fillId="0" borderId="1" xfId="0" applyFont="1" applyFill="1" applyBorder="1"/>
    <xf numFmtId="10" fontId="0" fillId="0" borderId="1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4" fontId="1" fillId="5" borderId="18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2" borderId="21" xfId="0" applyFont="1" applyFill="1" applyBorder="1" applyAlignment="1">
      <alignment vertical="center"/>
    </xf>
    <xf numFmtId="0" fontId="1" fillId="7" borderId="0" xfId="0" applyFont="1" applyFill="1" applyBorder="1" applyAlignment="1">
      <alignment vertical="center"/>
    </xf>
    <xf numFmtId="0" fontId="1" fillId="8" borderId="21" xfId="0" applyFont="1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14" fontId="7" fillId="6" borderId="18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8" fillId="6" borderId="18" xfId="1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164" fontId="0" fillId="2" borderId="0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vertical="center"/>
    </xf>
    <xf numFmtId="0" fontId="0" fillId="0" borderId="21" xfId="0" applyBorder="1"/>
    <xf numFmtId="0" fontId="11" fillId="6" borderId="18" xfId="0" applyFont="1" applyFill="1" applyBorder="1" applyAlignment="1">
      <alignment horizontal="right" vertical="center"/>
    </xf>
    <xf numFmtId="0" fontId="0" fillId="6" borderId="18" xfId="0" applyFill="1" applyBorder="1"/>
    <xf numFmtId="0" fontId="10" fillId="3" borderId="26" xfId="0" applyFont="1" applyFill="1" applyBorder="1" applyAlignment="1">
      <alignment horizontal="center" vertical="center"/>
    </xf>
    <xf numFmtId="14" fontId="10" fillId="3" borderId="27" xfId="0" applyNumberFormat="1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10" fontId="10" fillId="4" borderId="28" xfId="1" applyNumberFormat="1" applyFont="1" applyFill="1" applyBorder="1" applyAlignment="1">
      <alignment horizontal="center" vertical="center"/>
    </xf>
    <xf numFmtId="164" fontId="0" fillId="7" borderId="26" xfId="0" applyNumberFormat="1" applyFill="1" applyBorder="1" applyAlignment="1">
      <alignment vertical="center"/>
    </xf>
    <xf numFmtId="14" fontId="0" fillId="7" borderId="27" xfId="0" applyNumberFormat="1" applyFill="1" applyBorder="1" applyAlignment="1">
      <alignment horizontal="center" vertical="center"/>
    </xf>
    <xf numFmtId="10" fontId="0" fillId="7" borderId="27" xfId="1" applyNumberFormat="1" applyFont="1" applyFill="1" applyBorder="1" applyAlignment="1">
      <alignment vertical="center"/>
    </xf>
    <xf numFmtId="14" fontId="0" fillId="5" borderId="27" xfId="0" applyNumberFormat="1" applyFill="1" applyBorder="1" applyAlignment="1">
      <alignment vertical="center"/>
    </xf>
    <xf numFmtId="10" fontId="0" fillId="5" borderId="27" xfId="1" applyNumberFormat="1" applyFont="1" applyFill="1" applyBorder="1" applyAlignment="1">
      <alignment vertical="center"/>
    </xf>
    <xf numFmtId="0" fontId="0" fillId="5" borderId="30" xfId="0" applyFill="1" applyBorder="1" applyAlignment="1">
      <alignment vertical="center"/>
    </xf>
    <xf numFmtId="10" fontId="0" fillId="4" borderId="28" xfId="1" applyNumberFormat="1" applyFont="1" applyFill="1" applyBorder="1" applyAlignment="1">
      <alignment vertical="center"/>
    </xf>
    <xf numFmtId="0" fontId="0" fillId="0" borderId="19" xfId="0" applyBorder="1"/>
    <xf numFmtId="0" fontId="1" fillId="8" borderId="6" xfId="0" applyFont="1" applyFill="1" applyBorder="1" applyAlignment="1">
      <alignment vertical="center" wrapText="1"/>
    </xf>
    <xf numFmtId="164" fontId="0" fillId="7" borderId="32" xfId="0" applyNumberFormat="1" applyFill="1" applyBorder="1" applyAlignment="1">
      <alignment vertical="center"/>
    </xf>
    <xf numFmtId="164" fontId="0" fillId="7" borderId="0" xfId="0" applyNumberForma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0" fillId="7" borderId="0" xfId="0" applyFill="1"/>
    <xf numFmtId="0" fontId="1" fillId="8" borderId="21" xfId="0" applyFont="1" applyFill="1" applyBorder="1"/>
    <xf numFmtId="0" fontId="1" fillId="2" borderId="21" xfId="0" applyFont="1" applyFill="1" applyBorder="1"/>
    <xf numFmtId="0" fontId="0" fillId="7" borderId="21" xfId="0" applyFill="1" applyBorder="1"/>
    <xf numFmtId="0" fontId="0" fillId="0" borderId="0" xfId="0" applyAlignment="1">
      <alignment vertical="top" wrapText="1"/>
    </xf>
    <xf numFmtId="14" fontId="1" fillId="0" borderId="1" xfId="0" applyNumberFormat="1" applyFont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2" fillId="7" borderId="17" xfId="0" applyFont="1" applyFill="1" applyBorder="1" applyAlignment="1">
      <alignment horizontal="center" vertical="center"/>
    </xf>
    <xf numFmtId="0" fontId="0" fillId="7" borderId="0" xfId="0" applyFill="1" applyBorder="1"/>
    <xf numFmtId="14" fontId="0" fillId="5" borderId="30" xfId="0" applyNumberFormat="1" applyFill="1" applyBorder="1" applyAlignment="1">
      <alignment vertical="center"/>
    </xf>
    <xf numFmtId="10" fontId="0" fillId="9" borderId="27" xfId="1" applyNumberFormat="1" applyFont="1" applyFill="1" applyBorder="1" applyAlignment="1">
      <alignment vertical="center"/>
    </xf>
    <xf numFmtId="10" fontId="0" fillId="9" borderId="28" xfId="1" applyNumberFormat="1" applyFont="1" applyFill="1" applyBorder="1" applyAlignment="1">
      <alignment vertical="center"/>
    </xf>
    <xf numFmtId="0" fontId="0" fillId="7" borderId="19" xfId="0" applyFill="1" applyBorder="1"/>
    <xf numFmtId="0" fontId="0" fillId="7" borderId="26" xfId="0" applyFill="1" applyBorder="1" applyAlignment="1">
      <alignment vertical="center"/>
    </xf>
    <xf numFmtId="0" fontId="0" fillId="7" borderId="27" xfId="0" applyFill="1" applyBorder="1" applyAlignment="1">
      <alignment vertical="center"/>
    </xf>
    <xf numFmtId="0" fontId="0" fillId="7" borderId="28" xfId="0" applyFill="1" applyBorder="1" applyAlignment="1">
      <alignment vertical="center"/>
    </xf>
    <xf numFmtId="0" fontId="0" fillId="7" borderId="29" xfId="0" applyFill="1" applyBorder="1" applyAlignment="1">
      <alignment vertical="center"/>
    </xf>
    <xf numFmtId="0" fontId="0" fillId="7" borderId="30" xfId="0" applyFill="1" applyBorder="1" applyAlignment="1">
      <alignment vertical="center"/>
    </xf>
    <xf numFmtId="0" fontId="0" fillId="7" borderId="31" xfId="0" applyFill="1" applyBorder="1" applyAlignment="1">
      <alignment vertical="center"/>
    </xf>
    <xf numFmtId="164" fontId="0" fillId="10" borderId="32" xfId="0" applyNumberFormat="1" applyFill="1" applyBorder="1" applyAlignment="1">
      <alignment vertical="center"/>
    </xf>
    <xf numFmtId="14" fontId="0" fillId="10" borderId="27" xfId="0" applyNumberFormat="1" applyFill="1" applyBorder="1" applyAlignment="1">
      <alignment horizontal="center" vertical="center"/>
    </xf>
    <xf numFmtId="10" fontId="0" fillId="10" borderId="27" xfId="1" applyNumberFormat="1" applyFont="1" applyFill="1" applyBorder="1" applyAlignment="1">
      <alignment vertical="center"/>
    </xf>
    <xf numFmtId="164" fontId="0" fillId="10" borderId="0" xfId="0" applyNumberFormat="1" applyFill="1" applyBorder="1" applyAlignment="1">
      <alignment vertical="center"/>
    </xf>
    <xf numFmtId="0" fontId="0" fillId="10" borderId="0" xfId="0" applyFill="1" applyBorder="1"/>
    <xf numFmtId="0" fontId="0" fillId="10" borderId="19" xfId="0" applyFill="1" applyBorder="1"/>
    <xf numFmtId="0" fontId="0" fillId="10" borderId="21" xfId="0" applyFill="1" applyBorder="1"/>
    <xf numFmtId="10" fontId="0" fillId="10" borderId="28" xfId="1" applyNumberFormat="1" applyFont="1" applyFill="1" applyBorder="1" applyAlignment="1">
      <alignment vertical="center"/>
    </xf>
    <xf numFmtId="0" fontId="2" fillId="10" borderId="17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14" fontId="0" fillId="7" borderId="27" xfId="0" applyNumberFormat="1" applyFill="1" applyBorder="1" applyAlignment="1">
      <alignment vertical="center"/>
    </xf>
    <xf numFmtId="10" fontId="0" fillId="7" borderId="28" xfId="1" applyNumberFormat="1" applyFont="1" applyFill="1" applyBorder="1" applyAlignment="1">
      <alignment vertical="center"/>
    </xf>
    <xf numFmtId="164" fontId="0" fillId="7" borderId="29" xfId="0" applyNumberFormat="1" applyFill="1" applyBorder="1" applyAlignment="1">
      <alignment vertical="center"/>
    </xf>
    <xf numFmtId="14" fontId="0" fillId="7" borderId="30" xfId="0" applyNumberFormat="1" applyFill="1" applyBorder="1" applyAlignment="1">
      <alignment horizontal="center" vertical="center"/>
    </xf>
    <xf numFmtId="10" fontId="0" fillId="7" borderId="30" xfId="1" applyNumberFormat="1" applyFont="1" applyFill="1" applyBorder="1" applyAlignment="1">
      <alignment vertical="center"/>
    </xf>
    <xf numFmtId="10" fontId="0" fillId="5" borderId="30" xfId="1" applyNumberFormat="1" applyFont="1" applyFill="1" applyBorder="1" applyAlignment="1">
      <alignment vertical="center"/>
    </xf>
    <xf numFmtId="0" fontId="2" fillId="10" borderId="17" xfId="0" applyFont="1" applyFill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" fillId="10" borderId="17" xfId="0" applyFont="1" applyFill="1" applyBorder="1" applyAlignment="1">
      <alignment horizontal="center" vertical="center"/>
    </xf>
    <xf numFmtId="44" fontId="22" fillId="2" borderId="34" xfId="2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0" fillId="0" borderId="0" xfId="0" applyFill="1" applyBorder="1"/>
    <xf numFmtId="44" fontId="21" fillId="0" borderId="43" xfId="2" applyFont="1" applyBorder="1" applyAlignment="1">
      <alignment horizontal="center" vertical="center" wrapText="1"/>
    </xf>
    <xf numFmtId="44" fontId="21" fillId="0" borderId="44" xfId="2" applyFont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/>
    </xf>
    <xf numFmtId="44" fontId="9" fillId="2" borderId="45" xfId="2" applyFont="1" applyFill="1" applyBorder="1" applyAlignment="1">
      <alignment horizontal="center"/>
    </xf>
    <xf numFmtId="44" fontId="22" fillId="2" borderId="38" xfId="2" applyFont="1" applyFill="1" applyBorder="1" applyAlignment="1">
      <alignment horizontal="center"/>
    </xf>
    <xf numFmtId="14" fontId="0" fillId="10" borderId="0" xfId="0" applyNumberFormat="1" applyFill="1" applyBorder="1"/>
    <xf numFmtId="44" fontId="0" fillId="10" borderId="0" xfId="2" applyFont="1" applyFill="1" applyBorder="1"/>
    <xf numFmtId="44" fontId="0" fillId="10" borderId="0" xfId="0" applyNumberFormat="1" applyFill="1" applyBorder="1"/>
    <xf numFmtId="0" fontId="9" fillId="2" borderId="19" xfId="0" applyFont="1" applyFill="1" applyBorder="1" applyAlignment="1">
      <alignment horizontal="center"/>
    </xf>
    <xf numFmtId="14" fontId="0" fillId="10" borderId="21" xfId="0" applyNumberFormat="1" applyFill="1" applyBorder="1"/>
    <xf numFmtId="0" fontId="20" fillId="2" borderId="4" xfId="0" applyFont="1" applyFill="1" applyBorder="1" applyAlignment="1">
      <alignment horizontal="center" vertical="center"/>
    </xf>
    <xf numFmtId="4" fontId="0" fillId="10" borderId="0" xfId="0" applyNumberFormat="1" applyFill="1" applyBorder="1"/>
    <xf numFmtId="44" fontId="21" fillId="0" borderId="21" xfId="2" applyFont="1" applyBorder="1" applyAlignment="1">
      <alignment horizontal="right" vertical="center" wrapText="1"/>
    </xf>
    <xf numFmtId="0" fontId="23" fillId="10" borderId="19" xfId="0" applyFont="1" applyFill="1" applyBorder="1" applyAlignment="1">
      <alignment vertical="center" wrapText="1"/>
    </xf>
    <xf numFmtId="44" fontId="21" fillId="0" borderId="4" xfId="2" applyFont="1" applyBorder="1" applyAlignment="1">
      <alignment vertical="center" wrapText="1"/>
    </xf>
    <xf numFmtId="44" fontId="19" fillId="0" borderId="46" xfId="2" applyFont="1" applyBorder="1" applyAlignment="1">
      <alignment horizontal="right" vertical="center" wrapText="1"/>
    </xf>
    <xf numFmtId="44" fontId="19" fillId="0" borderId="47" xfId="2" applyFont="1" applyBorder="1" applyAlignment="1">
      <alignment horizontal="center" vertical="center" wrapText="1"/>
    </xf>
    <xf numFmtId="44" fontId="24" fillId="6" borderId="42" xfId="2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/>
    </xf>
    <xf numFmtId="44" fontId="9" fillId="11" borderId="0" xfId="0" applyNumberFormat="1" applyFont="1" applyFill="1" applyBorder="1" applyAlignment="1"/>
    <xf numFmtId="0" fontId="9" fillId="12" borderId="0" xfId="0" applyFont="1" applyFill="1" applyBorder="1" applyAlignment="1">
      <alignment horizontal="center"/>
    </xf>
    <xf numFmtId="44" fontId="9" fillId="12" borderId="0" xfId="0" applyNumberFormat="1" applyFont="1" applyFill="1" applyBorder="1" applyAlignment="1"/>
    <xf numFmtId="44" fontId="9" fillId="2" borderId="35" xfId="2" applyFont="1" applyFill="1" applyBorder="1" applyAlignment="1">
      <alignment horizontal="right"/>
    </xf>
    <xf numFmtId="44" fontId="22" fillId="2" borderId="36" xfId="2" applyFont="1" applyFill="1" applyBorder="1" applyAlignment="1">
      <alignment horizontal="center"/>
    </xf>
    <xf numFmtId="44" fontId="22" fillId="2" borderId="48" xfId="2" applyFont="1" applyFill="1" applyBorder="1" applyAlignment="1">
      <alignment horizontal="center"/>
    </xf>
    <xf numFmtId="44" fontId="22" fillId="2" borderId="49" xfId="2" applyFont="1" applyFill="1" applyBorder="1" applyAlignment="1">
      <alignment horizontal="center"/>
    </xf>
    <xf numFmtId="44" fontId="22" fillId="2" borderId="50" xfId="2" applyFont="1" applyFill="1" applyBorder="1" applyAlignment="1">
      <alignment horizontal="center"/>
    </xf>
    <xf numFmtId="44" fontId="22" fillId="2" borderId="51" xfId="2" applyFont="1" applyFill="1" applyBorder="1" applyAlignment="1">
      <alignment horizontal="center"/>
    </xf>
    <xf numFmtId="44" fontId="25" fillId="6" borderId="53" xfId="0" applyNumberFormat="1" applyFont="1" applyFill="1" applyBorder="1" applyAlignment="1"/>
    <xf numFmtId="44" fontId="9" fillId="2" borderId="55" xfId="2" applyFont="1" applyFill="1" applyBorder="1" applyAlignment="1">
      <alignment horizontal="right"/>
    </xf>
    <xf numFmtId="44" fontId="24" fillId="6" borderId="37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10" fontId="10" fillId="0" borderId="0" xfId="1" applyNumberFormat="1" applyFont="1" applyFill="1" applyBorder="1" applyAlignment="1">
      <alignment horizontal="center" vertical="center"/>
    </xf>
    <xf numFmtId="10" fontId="0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164" fontId="0" fillId="10" borderId="0" xfId="0" applyNumberFormat="1" applyFill="1" applyBorder="1"/>
    <xf numFmtId="0" fontId="0" fillId="0" borderId="2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14" fontId="1" fillId="0" borderId="21" xfId="0" applyNumberFormat="1" applyFont="1" applyBorder="1" applyAlignment="1">
      <alignment horizontal="center"/>
    </xf>
    <xf numFmtId="14" fontId="1" fillId="0" borderId="21" xfId="0" applyNumberFormat="1" applyFont="1" applyBorder="1"/>
    <xf numFmtId="14" fontId="0" fillId="0" borderId="34" xfId="0" applyNumberFormat="1" applyBorder="1"/>
    <xf numFmtId="44" fontId="0" fillId="0" borderId="34" xfId="2" applyFont="1" applyBorder="1"/>
    <xf numFmtId="14" fontId="0" fillId="10" borderId="39" xfId="0" applyNumberFormat="1" applyFill="1" applyBorder="1"/>
    <xf numFmtId="44" fontId="0" fillId="10" borderId="54" xfId="2" applyFont="1" applyFill="1" applyBorder="1"/>
    <xf numFmtId="14" fontId="0" fillId="10" borderId="37" xfId="0" applyNumberFormat="1" applyFill="1" applyBorder="1"/>
    <xf numFmtId="44" fontId="0" fillId="10" borderId="34" xfId="2" applyFont="1" applyFill="1" applyBorder="1"/>
    <xf numFmtId="3" fontId="0" fillId="10" borderId="0" xfId="0" applyNumberFormat="1" applyFill="1" applyBorder="1"/>
    <xf numFmtId="1" fontId="5" fillId="10" borderId="0" xfId="0" applyNumberFormat="1" applyFont="1" applyFill="1" applyBorder="1"/>
    <xf numFmtId="14" fontId="0" fillId="0" borderId="37" xfId="0" applyNumberFormat="1" applyBorder="1"/>
    <xf numFmtId="4" fontId="0" fillId="0" borderId="0" xfId="0" applyNumberFormat="1"/>
    <xf numFmtId="1" fontId="0" fillId="10" borderId="0" xfId="0" applyNumberFormat="1" applyFill="1" applyBorder="1"/>
    <xf numFmtId="14" fontId="0" fillId="0" borderId="21" xfId="0" applyNumberFormat="1" applyBorder="1"/>
    <xf numFmtId="0" fontId="0" fillId="10" borderId="19" xfId="0" applyFill="1" applyBorder="1" applyAlignment="1">
      <alignment horizontal="center"/>
    </xf>
    <xf numFmtId="14" fontId="0" fillId="2" borderId="21" xfId="0" applyNumberFormat="1" applyFill="1" applyBorder="1"/>
    <xf numFmtId="44" fontId="0" fillId="2" borderId="0" xfId="2" applyFont="1" applyFill="1" applyBorder="1"/>
    <xf numFmtId="44" fontId="0" fillId="2" borderId="0" xfId="0" applyNumberFormat="1" applyFill="1" applyBorder="1"/>
    <xf numFmtId="1" fontId="0" fillId="2" borderId="0" xfId="0" applyNumberFormat="1" applyFill="1" applyBorder="1"/>
    <xf numFmtId="164" fontId="0" fillId="2" borderId="0" xfId="0" applyNumberFormat="1" applyFill="1" applyBorder="1"/>
    <xf numFmtId="0" fontId="0" fillId="2" borderId="19" xfId="0" applyFill="1" applyBorder="1" applyAlignment="1">
      <alignment horizontal="center"/>
    </xf>
    <xf numFmtId="0" fontId="0" fillId="2" borderId="0" xfId="0" applyFill="1" applyBorder="1"/>
    <xf numFmtId="0" fontId="0" fillId="2" borderId="19" xfId="0" applyFill="1" applyBorder="1"/>
    <xf numFmtId="0" fontId="0" fillId="2" borderId="21" xfId="0" applyFill="1" applyBorder="1"/>
    <xf numFmtId="14" fontId="0" fillId="2" borderId="37" xfId="0" applyNumberFormat="1" applyFill="1" applyBorder="1"/>
    <xf numFmtId="44" fontId="0" fillId="2" borderId="34" xfId="2" applyFont="1" applyFill="1" applyBorder="1"/>
    <xf numFmtId="44" fontId="0" fillId="2" borderId="54" xfId="2" applyFont="1" applyFill="1" applyBorder="1"/>
    <xf numFmtId="3" fontId="0" fillId="2" borderId="0" xfId="0" applyNumberFormat="1" applyFill="1" applyBorder="1"/>
    <xf numFmtId="14" fontId="0" fillId="0" borderId="0" xfId="0" applyNumberFormat="1" applyBorder="1" applyAlignment="1">
      <alignment horizontal="left"/>
    </xf>
    <xf numFmtId="0" fontId="2" fillId="0" borderId="19" xfId="0" applyFont="1" applyBorder="1" applyAlignment="1">
      <alignment horizontal="left"/>
    </xf>
    <xf numFmtId="14" fontId="0" fillId="10" borderId="57" xfId="0" applyNumberFormat="1" applyFill="1" applyBorder="1"/>
    <xf numFmtId="44" fontId="0" fillId="10" borderId="58" xfId="2" applyFont="1" applyFill="1" applyBorder="1"/>
    <xf numFmtId="0" fontId="0" fillId="0" borderId="0" xfId="0" applyBorder="1" applyAlignment="1">
      <alignment horizontal="left"/>
    </xf>
    <xf numFmtId="164" fontId="1" fillId="2" borderId="0" xfId="0" applyNumberFormat="1" applyFont="1" applyFill="1" applyBorder="1" applyAlignment="1">
      <alignment horizontal="center" vertical="center"/>
    </xf>
    <xf numFmtId="14" fontId="0" fillId="10" borderId="34" xfId="0" applyNumberFormat="1" applyFill="1" applyBorder="1"/>
    <xf numFmtId="44" fontId="0" fillId="0" borderId="0" xfId="0" applyNumberFormat="1"/>
    <xf numFmtId="1" fontId="17" fillId="10" borderId="0" xfId="0" applyNumberFormat="1" applyFont="1" applyFill="1" applyBorder="1"/>
    <xf numFmtId="14" fontId="0" fillId="0" borderId="0" xfId="0" applyNumberFormat="1" applyBorder="1"/>
    <xf numFmtId="0" fontId="1" fillId="2" borderId="59" xfId="0" applyFont="1" applyFill="1" applyBorder="1" applyAlignment="1">
      <alignment horizontal="center" vertical="center"/>
    </xf>
    <xf numFmtId="14" fontId="1" fillId="2" borderId="59" xfId="0" applyNumberFormat="1" applyFont="1" applyFill="1" applyBorder="1" applyAlignment="1">
      <alignment horizontal="center" vertical="center"/>
    </xf>
    <xf numFmtId="164" fontId="1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14" fontId="0" fillId="0" borderId="0" xfId="0" applyNumberFormat="1" applyBorder="1" applyAlignment="1"/>
    <xf numFmtId="14" fontId="27" fillId="7" borderId="27" xfId="0" applyNumberFormat="1" applyFont="1" applyFill="1" applyBorder="1" applyAlignment="1">
      <alignment horizontal="center" vertical="center"/>
    </xf>
    <xf numFmtId="0" fontId="0" fillId="0" borderId="8" xfId="0" applyBorder="1"/>
    <xf numFmtId="0" fontId="2" fillId="7" borderId="17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14" fontId="1" fillId="8" borderId="0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10" borderId="17" xfId="0" applyFont="1" applyFill="1" applyBorder="1" applyAlignment="1">
      <alignment horizontal="center" vertical="center"/>
    </xf>
    <xf numFmtId="0" fontId="0" fillId="13" borderId="0" xfId="0" applyFill="1"/>
    <xf numFmtId="14" fontId="1" fillId="0" borderId="0" xfId="0" applyNumberFormat="1" applyFont="1" applyBorder="1" applyAlignment="1">
      <alignment horizontal="center"/>
    </xf>
    <xf numFmtId="0" fontId="0" fillId="0" borderId="0" xfId="0" applyFill="1"/>
    <xf numFmtId="0" fontId="1" fillId="8" borderId="21" xfId="0" applyFont="1" applyFill="1" applyBorder="1" applyAlignment="1">
      <alignment vertical="center" wrapText="1"/>
    </xf>
    <xf numFmtId="10" fontId="0" fillId="0" borderId="0" xfId="0" applyNumberFormat="1" applyBorder="1"/>
    <xf numFmtId="44" fontId="1" fillId="8" borderId="0" xfId="2" applyFont="1" applyFill="1" applyBorder="1" applyAlignment="1">
      <alignment horizontal="center" vertical="center"/>
    </xf>
    <xf numFmtId="0" fontId="0" fillId="8" borderId="0" xfId="0" applyFill="1"/>
    <xf numFmtId="0" fontId="2" fillId="10" borderId="17" xfId="0" applyFont="1" applyFill="1" applyBorder="1" applyAlignment="1">
      <alignment horizontal="center" vertical="center"/>
    </xf>
    <xf numFmtId="14" fontId="1" fillId="8" borderId="0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14" fontId="2" fillId="8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10" borderId="17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164" fontId="0" fillId="10" borderId="62" xfId="0" applyNumberFormat="1" applyFill="1" applyBorder="1" applyAlignment="1">
      <alignment vertical="center"/>
    </xf>
    <xf numFmtId="164" fontId="0" fillId="10" borderId="63" xfId="0" applyNumberFormat="1" applyFill="1" applyBorder="1" applyAlignment="1">
      <alignment vertical="center"/>
    </xf>
    <xf numFmtId="0" fontId="2" fillId="10" borderId="17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4" fontId="1" fillId="8" borderId="0" xfId="0" applyNumberFormat="1" applyFont="1" applyFill="1" applyBorder="1" applyAlignment="1">
      <alignment horizontal="center"/>
    </xf>
    <xf numFmtId="3" fontId="0" fillId="0" borderId="0" xfId="0" applyNumberFormat="1"/>
    <xf numFmtId="44" fontId="0" fillId="0" borderId="0" xfId="2" applyFont="1"/>
    <xf numFmtId="14" fontId="1" fillId="8" borderId="0" xfId="2" applyNumberFormat="1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14" fontId="1" fillId="8" borderId="0" xfId="0" applyNumberFormat="1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14" fontId="1" fillId="8" borderId="0" xfId="0" applyNumberFormat="1" applyFont="1" applyFill="1" applyBorder="1" applyAlignment="1">
      <alignment horizontal="center" vertical="center"/>
    </xf>
    <xf numFmtId="4" fontId="1" fillId="8" borderId="0" xfId="0" applyNumberFormat="1" applyFont="1" applyFill="1" applyBorder="1" applyAlignment="1">
      <alignment horizontal="center"/>
    </xf>
    <xf numFmtId="4" fontId="1" fillId="0" borderId="21" xfId="0" applyNumberFormat="1" applyFont="1" applyBorder="1" applyAlignment="1"/>
    <xf numFmtId="0" fontId="1" fillId="0" borderId="0" xfId="0" applyFont="1" applyBorder="1" applyAlignment="1"/>
    <xf numFmtId="14" fontId="1" fillId="8" borderId="0" xfId="0" applyNumberFormat="1" applyFont="1" applyFill="1" applyBorder="1" applyAlignment="1">
      <alignment horizontal="center" vertical="center"/>
    </xf>
    <xf numFmtId="14" fontId="1" fillId="13" borderId="0" xfId="0" applyNumberFormat="1" applyFont="1" applyFill="1" applyBorder="1" applyAlignment="1">
      <alignment horizontal="center" vertical="center"/>
    </xf>
    <xf numFmtId="10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0" fontId="0" fillId="0" borderId="2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4" fontId="0" fillId="0" borderId="2" xfId="0" applyNumberFormat="1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3" xfId="0" applyNumberFormat="1" applyFill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0" fontId="3" fillId="0" borderId="8" xfId="0" applyNumberFormat="1" applyFont="1" applyBorder="1" applyAlignment="1">
      <alignment horizontal="center"/>
    </xf>
    <xf numFmtId="14" fontId="1" fillId="8" borderId="0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/>
    </xf>
    <xf numFmtId="10" fontId="3" fillId="8" borderId="0" xfId="0" applyNumberFormat="1" applyFont="1" applyFill="1" applyBorder="1" applyAlignment="1">
      <alignment horizontal="center" vertical="center"/>
    </xf>
    <xf numFmtId="10" fontId="0" fillId="8" borderId="17" xfId="0" applyNumberFormat="1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right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1" fillId="6" borderId="18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3" fillId="8" borderId="0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1" fillId="8" borderId="0" xfId="0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0" fontId="0" fillId="10" borderId="17" xfId="0" applyFont="1" applyFill="1" applyBorder="1" applyAlignment="1">
      <alignment horizontal="right" vertical="center"/>
    </xf>
    <xf numFmtId="0" fontId="19" fillId="0" borderId="2" xfId="0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0" fontId="19" fillId="0" borderId="10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44" fontId="24" fillId="6" borderId="4" xfId="2" applyFont="1" applyFill="1" applyBorder="1" applyAlignment="1">
      <alignment horizontal="center" vertical="center"/>
    </xf>
    <xf numFmtId="44" fontId="24" fillId="6" borderId="9" xfId="2" applyFont="1" applyFill="1" applyBorder="1" applyAlignment="1">
      <alignment horizontal="center" vertical="center"/>
    </xf>
    <xf numFmtId="44" fontId="24" fillId="6" borderId="5" xfId="2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right"/>
    </xf>
    <xf numFmtId="0" fontId="25" fillId="6" borderId="17" xfId="0" applyFont="1" applyFill="1" applyBorder="1" applyAlignment="1">
      <alignment horizontal="right"/>
    </xf>
    <xf numFmtId="0" fontId="25" fillId="6" borderId="52" xfId="0" applyFont="1" applyFill="1" applyBorder="1" applyAlignment="1">
      <alignment horizontal="right"/>
    </xf>
    <xf numFmtId="0" fontId="24" fillId="6" borderId="37" xfId="0" applyFont="1" applyFill="1" applyBorder="1" applyAlignment="1">
      <alignment horizontal="center"/>
    </xf>
    <xf numFmtId="0" fontId="24" fillId="6" borderId="34" xfId="0" applyFont="1" applyFill="1" applyBorder="1" applyAlignment="1">
      <alignment horizontal="center"/>
    </xf>
    <xf numFmtId="0" fontId="24" fillId="6" borderId="56" xfId="0" applyFont="1" applyFill="1" applyBorder="1" applyAlignment="1">
      <alignment horizontal="center"/>
    </xf>
    <xf numFmtId="44" fontId="24" fillId="6" borderId="40" xfId="2" applyFont="1" applyFill="1" applyBorder="1" applyAlignment="1">
      <alignment horizontal="center" vertical="center"/>
    </xf>
    <xf numFmtId="44" fontId="24" fillId="6" borderId="41" xfId="2" applyFont="1" applyFill="1" applyBorder="1" applyAlignment="1">
      <alignment horizontal="center" vertical="center"/>
    </xf>
    <xf numFmtId="44" fontId="24" fillId="6" borderId="0" xfId="2" applyFont="1" applyFill="1" applyBorder="1" applyAlignment="1">
      <alignment horizontal="center" vertical="center"/>
    </xf>
    <xf numFmtId="44" fontId="24" fillId="6" borderId="19" xfId="2" applyFont="1" applyFill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0" fillId="2" borderId="9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" fillId="0" borderId="2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10" fontId="0" fillId="9" borderId="1" xfId="0" applyNumberForma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4" fontId="1" fillId="8" borderId="0" xfId="0" applyNumberFormat="1" applyFont="1" applyFill="1" applyBorder="1" applyAlignment="1">
      <alignment horizontal="center"/>
    </xf>
    <xf numFmtId="0" fontId="23" fillId="0" borderId="8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10" fontId="0" fillId="7" borderId="0" xfId="0" applyNumberForma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left" vertical="center" wrapText="1"/>
    </xf>
    <xf numFmtId="0" fontId="16" fillId="7" borderId="19" xfId="0" applyFont="1" applyFill="1" applyBorder="1" applyAlignment="1">
      <alignment horizontal="left" vertical="center" wrapText="1"/>
    </xf>
    <xf numFmtId="14" fontId="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7" borderId="17" xfId="0" applyFont="1" applyFill="1" applyBorder="1" applyAlignment="1">
      <alignment horizontal="right" vertical="center"/>
    </xf>
    <xf numFmtId="44" fontId="24" fillId="6" borderId="61" xfId="2" applyFont="1" applyFill="1" applyBorder="1" applyAlignment="1">
      <alignment horizontal="center" vertical="center"/>
    </xf>
    <xf numFmtId="0" fontId="0" fillId="0" borderId="60" xfId="0" applyBorder="1" applyAlignment="1">
      <alignment horizontal="center" wrapText="1"/>
    </xf>
    <xf numFmtId="0" fontId="26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7" borderId="8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28" fillId="2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1" fillId="2" borderId="33" xfId="0" applyFont="1" applyFill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0" xfId="0" applyFont="1" applyAlignment="1">
      <alignment horizontal="left" vertical="top" wrapText="1"/>
    </xf>
  </cellXfs>
  <cellStyles count="3">
    <cellStyle name="Moeda" xfId="2" builtinId="4"/>
    <cellStyle name="Normal" xfId="0" builtinId="0"/>
    <cellStyle name="Porcentagem" xfId="1" builtinId="5"/>
  </cellStyles>
  <dxfs count="287"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 tint="-0.499984740745262"/>
      </font>
    </dxf>
    <dxf>
      <font>
        <color theme="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 tint="-0.499984740745262"/>
      </font>
    </dxf>
    <dxf>
      <font>
        <color theme="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 tint="-0.499984740745262"/>
      </font>
    </dxf>
    <dxf>
      <font>
        <color theme="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color theme="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theme="9" tint="-0.499984740745262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60"/>
  <sheetViews>
    <sheetView topLeftCell="A52" workbookViewId="0">
      <selection activeCell="A63" sqref="A63"/>
    </sheetView>
  </sheetViews>
  <sheetFormatPr defaultRowHeight="15"/>
  <cols>
    <col min="1" max="1" width="38.85546875" bestFit="1" customWidth="1"/>
    <col min="2" max="2" width="9.5703125" style="3" customWidth="1"/>
    <col min="3" max="3" width="19.28515625" style="2" customWidth="1"/>
    <col min="4" max="4" width="10.85546875" style="21" bestFit="1" customWidth="1"/>
    <col min="5" max="5" width="10.7109375" style="22" bestFit="1" customWidth="1"/>
    <col min="6" max="6" width="3.7109375" style="22" bestFit="1" customWidth="1"/>
    <col min="7" max="7" width="6.28515625" style="22" bestFit="1" customWidth="1"/>
    <col min="8" max="8" width="15.85546875" style="22" bestFit="1" customWidth="1"/>
    <col min="9" max="9" width="8.140625" style="22" bestFit="1" customWidth="1"/>
    <col min="10" max="10" width="53.28515625" style="22" bestFit="1" customWidth="1"/>
    <col min="11" max="11" width="0.28515625" customWidth="1"/>
    <col min="13" max="13" width="10.7109375" bestFit="1" customWidth="1"/>
    <col min="15" max="15" width="10.7109375" bestFit="1" customWidth="1"/>
    <col min="17" max="17" width="10.7109375" bestFit="1" customWidth="1"/>
    <col min="19" max="19" width="10.7109375" bestFit="1" customWidth="1"/>
    <col min="21" max="21" width="10.7109375" bestFit="1" customWidth="1"/>
    <col min="23" max="23" width="10.7109375" bestFit="1" customWidth="1"/>
    <col min="25" max="25" width="10.7109375" bestFit="1" customWidth="1"/>
    <col min="27" max="27" width="10.7109375" bestFit="1" customWidth="1"/>
    <col min="29" max="29" width="10.7109375" bestFit="1" customWidth="1"/>
  </cols>
  <sheetData>
    <row r="1" spans="1:29">
      <c r="A1" s="1" t="s">
        <v>2</v>
      </c>
      <c r="B1" s="253" t="s">
        <v>7</v>
      </c>
      <c r="C1" s="254"/>
      <c r="D1" s="242" t="s">
        <v>8</v>
      </c>
      <c r="E1" s="242"/>
      <c r="F1" s="242"/>
      <c r="G1" s="242"/>
      <c r="H1" s="242"/>
      <c r="I1" s="242"/>
      <c r="J1" s="242"/>
    </row>
    <row r="2" spans="1:29">
      <c r="A2" s="1" t="s">
        <v>3</v>
      </c>
      <c r="B2" s="255" t="s">
        <v>6</v>
      </c>
      <c r="C2" s="256"/>
      <c r="D2" s="242"/>
      <c r="E2" s="242"/>
      <c r="F2" s="242"/>
      <c r="G2" s="242"/>
      <c r="H2" s="242"/>
      <c r="I2" s="242"/>
      <c r="J2" s="242"/>
    </row>
    <row r="3" spans="1:29" ht="15.75" thickBot="1">
      <c r="A3" s="1" t="s">
        <v>4</v>
      </c>
      <c r="B3" s="257" t="s">
        <v>5</v>
      </c>
      <c r="C3" s="261"/>
      <c r="D3" s="243" t="s">
        <v>36</v>
      </c>
      <c r="E3" s="242"/>
      <c r="F3" s="246">
        <v>42549</v>
      </c>
      <c r="G3" s="242"/>
      <c r="H3" s="242"/>
      <c r="I3" s="242"/>
      <c r="J3" s="242"/>
    </row>
    <row r="4" spans="1:29">
      <c r="A4" s="5" t="s">
        <v>0</v>
      </c>
      <c r="B4" s="7" t="s">
        <v>28</v>
      </c>
      <c r="C4" s="6">
        <v>42899</v>
      </c>
      <c r="D4" s="242"/>
      <c r="E4" s="242"/>
      <c r="F4" s="242"/>
      <c r="G4" s="242"/>
      <c r="H4" s="242"/>
      <c r="I4" s="242"/>
      <c r="J4" s="242"/>
      <c r="L4" s="32" t="s">
        <v>37</v>
      </c>
      <c r="M4" s="33">
        <v>42566</v>
      </c>
      <c r="N4" s="32" t="s">
        <v>46</v>
      </c>
      <c r="O4" s="33">
        <v>42618</v>
      </c>
      <c r="P4" s="32" t="s">
        <v>48</v>
      </c>
      <c r="Q4" s="33">
        <v>42663</v>
      </c>
      <c r="R4" s="32" t="s">
        <v>50</v>
      </c>
      <c r="S4" s="33">
        <v>42849</v>
      </c>
      <c r="T4" s="32" t="s">
        <v>28</v>
      </c>
      <c r="U4" s="33">
        <v>42895</v>
      </c>
      <c r="V4" s="32" t="s">
        <v>27</v>
      </c>
      <c r="W4" s="33"/>
    </row>
    <row r="5" spans="1:29" ht="15.75" thickBot="1">
      <c r="A5" s="1" t="s">
        <v>25</v>
      </c>
      <c r="B5" s="259">
        <v>0.41510000000000002</v>
      </c>
      <c r="C5" s="260"/>
      <c r="D5" s="250" t="s">
        <v>32</v>
      </c>
      <c r="E5" s="250"/>
      <c r="F5" s="250"/>
      <c r="G5" s="250"/>
      <c r="H5" s="250"/>
      <c r="I5" s="250"/>
      <c r="J5" s="250"/>
      <c r="L5" s="238">
        <v>1.54E-2</v>
      </c>
      <c r="M5" s="239"/>
      <c r="N5" s="238">
        <v>0.1431</v>
      </c>
      <c r="O5" s="239"/>
      <c r="P5" s="238">
        <v>0.24779999999999999</v>
      </c>
      <c r="Q5" s="239"/>
      <c r="R5" s="238">
        <v>0.28149999999999997</v>
      </c>
      <c r="S5" s="239"/>
      <c r="T5" s="238">
        <v>0.41510000000000002</v>
      </c>
      <c r="U5" s="239"/>
      <c r="V5" s="238"/>
      <c r="W5" s="239"/>
    </row>
    <row r="6" spans="1:29">
      <c r="A6" s="1" t="s">
        <v>1</v>
      </c>
      <c r="B6" s="7" t="s">
        <v>27</v>
      </c>
      <c r="C6" s="6">
        <v>42929</v>
      </c>
      <c r="D6" s="242" t="str">
        <f ca="1">IF(K6&gt;C6,"ATRASADO","")</f>
        <v>ATRASADO</v>
      </c>
      <c r="E6" s="242"/>
      <c r="F6" s="242"/>
      <c r="G6" s="242"/>
      <c r="H6" s="242"/>
      <c r="I6" s="242"/>
      <c r="J6" s="242"/>
      <c r="K6" s="4">
        <f ca="1">TODAY()</f>
        <v>44477</v>
      </c>
    </row>
    <row r="7" spans="1:29">
      <c r="A7" s="1" t="s">
        <v>26</v>
      </c>
      <c r="B7" s="262">
        <v>0.65290000000000004</v>
      </c>
      <c r="C7" s="263"/>
      <c r="D7" s="243" t="s">
        <v>29</v>
      </c>
      <c r="E7" s="243"/>
      <c r="F7" s="243"/>
      <c r="G7" s="243"/>
      <c r="H7" s="243"/>
      <c r="I7" s="243"/>
      <c r="J7" s="243"/>
    </row>
    <row r="8" spans="1:29">
      <c r="A8" s="1" t="s">
        <v>23</v>
      </c>
      <c r="B8" s="251">
        <v>43156</v>
      </c>
      <c r="C8" s="252"/>
      <c r="D8" s="242"/>
      <c r="E8" s="242"/>
      <c r="F8" s="242"/>
      <c r="G8" s="242"/>
      <c r="H8" s="242"/>
      <c r="I8" s="242"/>
      <c r="J8" s="242"/>
    </row>
    <row r="10" spans="1:29">
      <c r="A10" s="1" t="s">
        <v>2</v>
      </c>
      <c r="B10" s="253" t="s">
        <v>9</v>
      </c>
      <c r="C10" s="254"/>
      <c r="D10" s="242" t="s">
        <v>24</v>
      </c>
      <c r="E10" s="242"/>
      <c r="F10" s="242"/>
      <c r="G10" s="242"/>
      <c r="H10" s="242"/>
      <c r="I10" s="242"/>
      <c r="J10" s="242"/>
    </row>
    <row r="11" spans="1:29">
      <c r="A11" s="1" t="s">
        <v>3</v>
      </c>
      <c r="B11" s="255" t="s">
        <v>10</v>
      </c>
      <c r="C11" s="256"/>
      <c r="D11" s="242"/>
      <c r="E11" s="242"/>
      <c r="F11" s="242"/>
      <c r="G11" s="242"/>
      <c r="H11" s="242"/>
      <c r="I11" s="242"/>
      <c r="J11" s="242"/>
    </row>
    <row r="12" spans="1:29" ht="15.75" thickBot="1">
      <c r="A12" s="1" t="s">
        <v>4</v>
      </c>
      <c r="B12" s="255" t="s">
        <v>11</v>
      </c>
      <c r="C12" s="256"/>
      <c r="D12" s="243" t="s">
        <v>36</v>
      </c>
      <c r="E12" s="242"/>
      <c r="F12" s="246">
        <v>42128</v>
      </c>
      <c r="G12" s="242"/>
      <c r="H12" s="242"/>
      <c r="I12" s="242"/>
      <c r="J12" s="242"/>
    </row>
    <row r="13" spans="1:29">
      <c r="A13" s="1" t="s">
        <v>0</v>
      </c>
      <c r="B13" s="31" t="s">
        <v>33</v>
      </c>
      <c r="C13" s="6">
        <v>43103</v>
      </c>
      <c r="D13" s="247"/>
      <c r="E13" s="248"/>
      <c r="F13" s="248"/>
      <c r="G13" s="248"/>
      <c r="H13" s="248"/>
      <c r="I13" s="248"/>
      <c r="J13" s="249"/>
      <c r="L13" s="32" t="s">
        <v>37</v>
      </c>
      <c r="M13" s="33">
        <v>42163</v>
      </c>
      <c r="N13" s="32" t="s">
        <v>46</v>
      </c>
      <c r="O13" s="33">
        <v>42527</v>
      </c>
      <c r="P13" s="32" t="s">
        <v>48</v>
      </c>
      <c r="Q13" s="33">
        <v>42552</v>
      </c>
      <c r="R13" s="32" t="s">
        <v>50</v>
      </c>
      <c r="S13" s="33">
        <v>42621</v>
      </c>
      <c r="T13" s="32" t="s">
        <v>28</v>
      </c>
      <c r="U13" s="33">
        <v>42713</v>
      </c>
      <c r="V13" s="32" t="s">
        <v>27</v>
      </c>
      <c r="W13" s="33">
        <v>42864</v>
      </c>
      <c r="X13" s="32" t="s">
        <v>30</v>
      </c>
      <c r="Y13" s="33">
        <v>42908</v>
      </c>
      <c r="Z13" s="32" t="s">
        <v>31</v>
      </c>
      <c r="AA13" s="33">
        <v>43028</v>
      </c>
      <c r="AB13" s="32" t="s">
        <v>33</v>
      </c>
      <c r="AC13" s="33">
        <v>43116</v>
      </c>
    </row>
    <row r="14" spans="1:29" ht="15.75" thickBot="1">
      <c r="A14" s="1" t="s">
        <v>25</v>
      </c>
      <c r="B14" s="244">
        <v>1</v>
      </c>
      <c r="C14" s="245"/>
      <c r="D14" s="242"/>
      <c r="E14" s="242"/>
      <c r="F14" s="242"/>
      <c r="G14" s="242"/>
      <c r="H14" s="242"/>
      <c r="I14" s="242"/>
      <c r="J14" s="242"/>
      <c r="L14" s="238">
        <v>5.5300000000000002E-2</v>
      </c>
      <c r="M14" s="239"/>
      <c r="N14" s="238">
        <v>0.26929999999999998</v>
      </c>
      <c r="O14" s="239"/>
      <c r="P14" s="238">
        <v>0.3165</v>
      </c>
      <c r="Q14" s="239"/>
      <c r="R14" s="238">
        <v>0.39190000000000003</v>
      </c>
      <c r="S14" s="239"/>
      <c r="T14" s="238">
        <v>0.54269999999999996</v>
      </c>
      <c r="U14" s="239"/>
      <c r="V14" s="238">
        <v>0.71789999999999998</v>
      </c>
      <c r="W14" s="239"/>
      <c r="X14" s="238">
        <v>0.79390000000000005</v>
      </c>
      <c r="Y14" s="239"/>
      <c r="Z14" s="238">
        <v>0.84599999999999997</v>
      </c>
      <c r="AA14" s="239"/>
      <c r="AB14" s="238">
        <v>1</v>
      </c>
      <c r="AC14" s="239"/>
    </row>
    <row r="15" spans="1:29">
      <c r="A15" s="1" t="s">
        <v>1</v>
      </c>
      <c r="B15" s="12"/>
      <c r="C15" s="6"/>
      <c r="D15" s="242"/>
      <c r="E15" s="242"/>
      <c r="F15" s="242"/>
      <c r="G15" s="242"/>
      <c r="H15" s="242"/>
      <c r="I15" s="242"/>
      <c r="J15" s="242"/>
      <c r="K15" s="4">
        <f ca="1">TODAY()</f>
        <v>44477</v>
      </c>
    </row>
    <row r="16" spans="1:29">
      <c r="A16" s="1" t="s">
        <v>26</v>
      </c>
      <c r="B16" s="244"/>
      <c r="C16" s="245"/>
      <c r="D16" s="269" t="s">
        <v>53</v>
      </c>
      <c r="E16" s="269"/>
      <c r="F16" s="269"/>
      <c r="G16" s="269"/>
      <c r="H16" s="269"/>
      <c r="I16" s="269"/>
      <c r="J16" s="269"/>
    </row>
    <row r="17" spans="1:25">
      <c r="A17" s="1" t="s">
        <v>23</v>
      </c>
      <c r="B17" s="251">
        <v>43170</v>
      </c>
      <c r="C17" s="252"/>
      <c r="D17" s="242"/>
      <c r="E17" s="242"/>
      <c r="F17" s="242"/>
      <c r="G17" s="242"/>
      <c r="H17" s="242"/>
      <c r="I17" s="242"/>
      <c r="J17" s="242"/>
    </row>
    <row r="19" spans="1:25">
      <c r="A19" s="1" t="s">
        <v>2</v>
      </c>
      <c r="B19" s="253" t="s">
        <v>12</v>
      </c>
      <c r="C19" s="254"/>
      <c r="D19" s="242" t="s">
        <v>13</v>
      </c>
      <c r="E19" s="242"/>
      <c r="F19" s="242"/>
      <c r="G19" s="242"/>
      <c r="H19" s="242"/>
      <c r="I19" s="242"/>
      <c r="J19" s="242"/>
    </row>
    <row r="20" spans="1:25">
      <c r="A20" s="1" t="s">
        <v>3</v>
      </c>
      <c r="B20" s="255" t="s">
        <v>10</v>
      </c>
      <c r="C20" s="256"/>
      <c r="D20" s="242"/>
      <c r="E20" s="242"/>
      <c r="F20" s="242"/>
      <c r="G20" s="242"/>
      <c r="H20" s="242"/>
      <c r="I20" s="242"/>
      <c r="J20" s="242"/>
    </row>
    <row r="21" spans="1:25" ht="15.75" thickBot="1">
      <c r="A21" s="1" t="s">
        <v>4</v>
      </c>
      <c r="B21" s="255" t="s">
        <v>14</v>
      </c>
      <c r="C21" s="256"/>
      <c r="D21" s="243" t="s">
        <v>36</v>
      </c>
      <c r="E21" s="242"/>
      <c r="F21" s="246">
        <v>42128</v>
      </c>
      <c r="G21" s="242"/>
      <c r="H21" s="242"/>
      <c r="I21" s="242"/>
      <c r="J21" s="242"/>
    </row>
    <row r="22" spans="1:25">
      <c r="A22" s="1" t="s">
        <v>0</v>
      </c>
      <c r="B22" s="8" t="s">
        <v>27</v>
      </c>
      <c r="C22" s="6">
        <v>42926</v>
      </c>
      <c r="D22" s="242"/>
      <c r="E22" s="242"/>
      <c r="F22" s="242"/>
      <c r="G22" s="242"/>
      <c r="H22" s="242"/>
      <c r="I22" s="242"/>
      <c r="J22" s="242"/>
      <c r="L22" s="32" t="s">
        <v>37</v>
      </c>
      <c r="M22" s="33">
        <v>42163</v>
      </c>
      <c r="N22" s="32" t="s">
        <v>46</v>
      </c>
      <c r="O22" s="33">
        <v>42401</v>
      </c>
      <c r="P22" s="32" t="s">
        <v>48</v>
      </c>
      <c r="Q22" s="33">
        <v>42472</v>
      </c>
      <c r="R22" s="32" t="s">
        <v>50</v>
      </c>
      <c r="S22" s="33">
        <v>42527</v>
      </c>
      <c r="T22" s="32" t="s">
        <v>28</v>
      </c>
      <c r="U22" s="33">
        <v>42644</v>
      </c>
      <c r="V22" s="32" t="s">
        <v>27</v>
      </c>
      <c r="W22" s="33">
        <v>42926</v>
      </c>
      <c r="X22" s="32" t="s">
        <v>30</v>
      </c>
      <c r="Y22" s="33"/>
    </row>
    <row r="23" spans="1:25" ht="15.75" thickBot="1">
      <c r="A23" s="1" t="s">
        <v>25</v>
      </c>
      <c r="B23" s="244">
        <v>0.91279999999999994</v>
      </c>
      <c r="C23" s="245"/>
      <c r="D23" s="242"/>
      <c r="E23" s="242"/>
      <c r="F23" s="242"/>
      <c r="G23" s="242"/>
      <c r="H23" s="242"/>
      <c r="I23" s="242"/>
      <c r="J23" s="242"/>
      <c r="L23" s="238">
        <v>1.37E-2</v>
      </c>
      <c r="M23" s="239"/>
      <c r="N23" s="238">
        <v>0.22550000000000001</v>
      </c>
      <c r="O23" s="239"/>
      <c r="P23" s="238">
        <v>0.57669999999999999</v>
      </c>
      <c r="Q23" s="239"/>
      <c r="R23" s="238">
        <v>0.57979999999999998</v>
      </c>
      <c r="S23" s="239"/>
      <c r="T23" s="238">
        <v>0.79630000000000001</v>
      </c>
      <c r="U23" s="239"/>
      <c r="V23" s="238">
        <v>0.91283000000000003</v>
      </c>
      <c r="W23" s="239"/>
      <c r="X23" s="238"/>
      <c r="Y23" s="239"/>
    </row>
    <row r="24" spans="1:25">
      <c r="A24" s="1" t="s">
        <v>1</v>
      </c>
      <c r="B24" s="8" t="s">
        <v>30</v>
      </c>
      <c r="C24" s="6">
        <v>42957</v>
      </c>
      <c r="D24" s="242" t="str">
        <f ca="1">IF(K24&gt;C24,"ATRASADO","")</f>
        <v>ATRASADO</v>
      </c>
      <c r="E24" s="242"/>
      <c r="F24" s="242"/>
      <c r="G24" s="242"/>
      <c r="H24" s="242"/>
      <c r="I24" s="242"/>
      <c r="J24" s="242"/>
      <c r="K24" s="4">
        <f t="shared" ref="K24" ca="1" si="0">TODAY()</f>
        <v>44477</v>
      </c>
    </row>
    <row r="25" spans="1:25">
      <c r="A25" s="1" t="s">
        <v>26</v>
      </c>
      <c r="B25" s="244">
        <v>1</v>
      </c>
      <c r="C25" s="245"/>
      <c r="D25" s="243" t="s">
        <v>29</v>
      </c>
      <c r="E25" s="243"/>
      <c r="F25" s="243"/>
      <c r="G25" s="243"/>
      <c r="H25" s="243"/>
      <c r="I25" s="243"/>
      <c r="J25" s="243"/>
    </row>
    <row r="26" spans="1:25">
      <c r="A26" s="1" t="s">
        <v>23</v>
      </c>
      <c r="B26" s="251">
        <v>43170</v>
      </c>
      <c r="C26" s="252"/>
      <c r="D26" s="242"/>
      <c r="E26" s="242"/>
      <c r="F26" s="242"/>
      <c r="G26" s="242"/>
      <c r="H26" s="242"/>
      <c r="I26" s="242"/>
      <c r="J26" s="242"/>
    </row>
    <row r="28" spans="1:25">
      <c r="A28" s="1" t="s">
        <v>2</v>
      </c>
      <c r="B28" s="253" t="s">
        <v>15</v>
      </c>
      <c r="C28" s="254"/>
      <c r="D28" s="242" t="s">
        <v>16</v>
      </c>
      <c r="E28" s="242"/>
      <c r="F28" s="242"/>
      <c r="G28" s="242"/>
      <c r="H28" s="242"/>
      <c r="I28" s="242"/>
      <c r="J28" s="242"/>
    </row>
    <row r="29" spans="1:25">
      <c r="A29" s="1" t="s">
        <v>3</v>
      </c>
      <c r="B29" s="255" t="s">
        <v>17</v>
      </c>
      <c r="C29" s="256"/>
      <c r="D29" s="242"/>
      <c r="E29" s="242"/>
      <c r="F29" s="242"/>
      <c r="G29" s="242"/>
      <c r="H29" s="242"/>
      <c r="I29" s="242"/>
      <c r="J29" s="242"/>
    </row>
    <row r="30" spans="1:25" ht="15.75" thickBot="1">
      <c r="A30" s="1" t="s">
        <v>4</v>
      </c>
      <c r="B30" s="255" t="s">
        <v>18</v>
      </c>
      <c r="C30" s="256"/>
      <c r="D30" s="243" t="s">
        <v>36</v>
      </c>
      <c r="E30" s="242"/>
      <c r="F30" s="246">
        <v>42751</v>
      </c>
      <c r="G30" s="242"/>
      <c r="H30" s="242"/>
      <c r="I30" s="242"/>
      <c r="J30" s="242"/>
    </row>
    <row r="31" spans="1:25">
      <c r="A31" s="1" t="s">
        <v>0</v>
      </c>
      <c r="B31" s="13" t="s">
        <v>28</v>
      </c>
      <c r="C31" s="9">
        <v>43028</v>
      </c>
      <c r="D31" s="242"/>
      <c r="E31" s="242"/>
      <c r="F31" s="242"/>
      <c r="G31" s="242"/>
      <c r="H31" s="242"/>
      <c r="I31" s="242"/>
      <c r="J31" s="242"/>
      <c r="L31" s="32" t="s">
        <v>37</v>
      </c>
      <c r="M31" s="33">
        <v>42779</v>
      </c>
      <c r="N31" s="32" t="s">
        <v>46</v>
      </c>
      <c r="O31" s="33">
        <v>42821</v>
      </c>
      <c r="P31" s="32" t="s">
        <v>48</v>
      </c>
      <c r="Q31" s="33">
        <v>42857</v>
      </c>
      <c r="R31" s="32" t="s">
        <v>50</v>
      </c>
      <c r="S31" s="33">
        <v>42982</v>
      </c>
      <c r="T31" s="32" t="s">
        <v>28</v>
      </c>
      <c r="U31" s="33">
        <v>43028</v>
      </c>
      <c r="V31" s="32" t="s">
        <v>27</v>
      </c>
      <c r="W31" s="33"/>
    </row>
    <row r="32" spans="1:25" ht="15.75" thickBot="1">
      <c r="A32" s="1" t="s">
        <v>25</v>
      </c>
      <c r="B32" s="244">
        <v>0.87339999999999995</v>
      </c>
      <c r="C32" s="245"/>
      <c r="D32" s="268" t="s">
        <v>34</v>
      </c>
      <c r="E32" s="268"/>
      <c r="F32" s="268"/>
      <c r="G32" s="268"/>
      <c r="H32" s="268"/>
      <c r="I32" s="268"/>
      <c r="J32" s="268"/>
      <c r="L32" s="238">
        <v>0.1709</v>
      </c>
      <c r="M32" s="239"/>
      <c r="N32" s="238">
        <v>0.3301</v>
      </c>
      <c r="O32" s="239"/>
      <c r="P32" s="238">
        <v>0.56210000000000004</v>
      </c>
      <c r="Q32" s="239"/>
      <c r="R32" s="238">
        <v>0.73340000000000005</v>
      </c>
      <c r="S32" s="239"/>
      <c r="T32" s="238">
        <v>0.87339999999999995</v>
      </c>
      <c r="U32" s="239"/>
      <c r="V32" s="238"/>
      <c r="W32" s="239"/>
    </row>
    <row r="33" spans="1:29">
      <c r="A33" s="1" t="s">
        <v>1</v>
      </c>
      <c r="B33" s="14" t="s">
        <v>27</v>
      </c>
      <c r="C33" s="6">
        <v>43059</v>
      </c>
      <c r="D33" s="242" t="str">
        <f ca="1">IF(K33&gt;C33,"ATRASADO","")</f>
        <v>ATRASADO</v>
      </c>
      <c r="E33" s="242"/>
      <c r="F33" s="242"/>
      <c r="G33" s="242"/>
      <c r="H33" s="242"/>
      <c r="I33" s="242"/>
      <c r="J33" s="242"/>
      <c r="K33" s="4">
        <f t="shared" ref="K33" ca="1" si="1">TODAY()</f>
        <v>44477</v>
      </c>
    </row>
    <row r="34" spans="1:29">
      <c r="A34" s="1" t="s">
        <v>26</v>
      </c>
      <c r="B34" s="244">
        <v>1</v>
      </c>
      <c r="C34" s="245"/>
      <c r="D34" s="243" t="s">
        <v>29</v>
      </c>
      <c r="E34" s="243"/>
      <c r="F34" s="243"/>
      <c r="G34" s="243"/>
      <c r="H34" s="243"/>
      <c r="I34" s="243"/>
      <c r="J34" s="243"/>
    </row>
    <row r="35" spans="1:29">
      <c r="A35" s="1" t="s">
        <v>23</v>
      </c>
      <c r="B35" s="251">
        <v>43171</v>
      </c>
      <c r="C35" s="252"/>
      <c r="D35" s="242"/>
      <c r="E35" s="242"/>
      <c r="F35" s="242"/>
      <c r="G35" s="242"/>
      <c r="H35" s="242"/>
      <c r="I35" s="242"/>
      <c r="J35" s="242"/>
    </row>
    <row r="36" spans="1:29" s="15" customFormat="1">
      <c r="A36" s="17"/>
      <c r="B36" s="18"/>
      <c r="C36" s="18"/>
      <c r="D36" s="23"/>
      <c r="E36" s="22"/>
      <c r="F36" s="22"/>
      <c r="G36" s="22"/>
      <c r="H36" s="22"/>
      <c r="I36" s="22"/>
      <c r="J36" s="22"/>
    </row>
    <row r="38" spans="1:29">
      <c r="A38" s="1" t="s">
        <v>2</v>
      </c>
      <c r="B38" s="253" t="s">
        <v>19</v>
      </c>
      <c r="C38" s="254"/>
      <c r="D38" s="242" t="s">
        <v>20</v>
      </c>
      <c r="E38" s="242"/>
      <c r="F38" s="242"/>
      <c r="G38" s="242"/>
      <c r="H38" s="242"/>
      <c r="I38" s="242"/>
      <c r="J38" s="242"/>
    </row>
    <row r="39" spans="1:29">
      <c r="A39" s="1" t="s">
        <v>3</v>
      </c>
      <c r="B39" s="255" t="s">
        <v>21</v>
      </c>
      <c r="C39" s="256"/>
      <c r="D39" s="242"/>
      <c r="E39" s="242"/>
      <c r="F39" s="242"/>
      <c r="G39" s="242"/>
      <c r="H39" s="242"/>
      <c r="I39" s="242"/>
      <c r="J39" s="242"/>
    </row>
    <row r="40" spans="1:29" ht="15.75" thickBot="1">
      <c r="A40" s="1" t="s">
        <v>4</v>
      </c>
      <c r="B40" s="257" t="s">
        <v>22</v>
      </c>
      <c r="C40" s="261"/>
      <c r="D40" s="243" t="s">
        <v>36</v>
      </c>
      <c r="E40" s="242"/>
      <c r="F40" s="246">
        <v>42128</v>
      </c>
      <c r="G40" s="242"/>
      <c r="H40" s="242"/>
      <c r="I40" s="242"/>
      <c r="J40" s="242"/>
    </row>
    <row r="41" spans="1:29">
      <c r="A41" s="5" t="s">
        <v>0</v>
      </c>
      <c r="B41" s="11" t="s">
        <v>31</v>
      </c>
      <c r="C41" s="10">
        <v>43060</v>
      </c>
      <c r="D41" s="242"/>
      <c r="E41" s="242"/>
      <c r="F41" s="242"/>
      <c r="G41" s="242"/>
      <c r="H41" s="242"/>
      <c r="I41" s="242"/>
      <c r="J41" s="242"/>
      <c r="L41" s="32" t="s">
        <v>37</v>
      </c>
      <c r="M41" s="33">
        <v>42151</v>
      </c>
      <c r="N41" s="32" t="s">
        <v>46</v>
      </c>
      <c r="O41" s="33">
        <v>42671</v>
      </c>
      <c r="P41" s="32" t="s">
        <v>48</v>
      </c>
      <c r="Q41" s="33">
        <v>42697</v>
      </c>
      <c r="R41" s="32" t="s">
        <v>50</v>
      </c>
      <c r="S41" s="33">
        <v>42788</v>
      </c>
      <c r="T41" s="32" t="s">
        <v>28</v>
      </c>
      <c r="U41" s="33">
        <v>42873</v>
      </c>
      <c r="V41" s="32" t="s">
        <v>27</v>
      </c>
      <c r="W41" s="33">
        <v>42900</v>
      </c>
      <c r="X41" s="32" t="s">
        <v>30</v>
      </c>
      <c r="Y41" s="33">
        <v>42919</v>
      </c>
      <c r="Z41" s="32" t="s">
        <v>31</v>
      </c>
      <c r="AA41" s="33">
        <v>43059</v>
      </c>
      <c r="AB41" s="32" t="s">
        <v>33</v>
      </c>
      <c r="AC41" s="33"/>
    </row>
    <row r="42" spans="1:29" ht="15.75" thickBot="1">
      <c r="A42" s="1" t="s">
        <v>25</v>
      </c>
      <c r="B42" s="270">
        <v>0.88070000000000004</v>
      </c>
      <c r="C42" s="270"/>
      <c r="D42" s="242"/>
      <c r="E42" s="242"/>
      <c r="F42" s="242"/>
      <c r="G42" s="242"/>
      <c r="H42" s="242"/>
      <c r="I42" s="242"/>
      <c r="J42" s="242"/>
      <c r="L42" s="238">
        <v>1.7000000000000001E-2</v>
      </c>
      <c r="M42" s="239"/>
      <c r="N42" s="238">
        <v>0.105</v>
      </c>
      <c r="O42" s="239"/>
      <c r="P42" s="238">
        <v>0.1953</v>
      </c>
      <c r="Q42" s="239"/>
      <c r="R42" s="238">
        <v>0.32900000000000001</v>
      </c>
      <c r="S42" s="239"/>
      <c r="T42" s="238">
        <v>0.41909999999999997</v>
      </c>
      <c r="U42" s="239"/>
      <c r="V42" s="238">
        <v>0.55510000000000004</v>
      </c>
      <c r="W42" s="239"/>
      <c r="X42" s="238">
        <v>0.73219999999999996</v>
      </c>
      <c r="Y42" s="239"/>
      <c r="Z42" s="238">
        <v>0.88070000000000004</v>
      </c>
      <c r="AA42" s="239"/>
      <c r="AB42" s="238"/>
      <c r="AC42" s="239"/>
    </row>
    <row r="43" spans="1:29">
      <c r="A43" s="5" t="s">
        <v>1</v>
      </c>
      <c r="B43" s="11" t="s">
        <v>33</v>
      </c>
      <c r="C43" s="10">
        <v>43087</v>
      </c>
      <c r="D43" s="242" t="str">
        <f ca="1">IF(K43&gt;C43,"ATRASADO","")</f>
        <v>ATRASADO</v>
      </c>
      <c r="E43" s="242"/>
      <c r="F43" s="242"/>
      <c r="G43" s="242"/>
      <c r="H43" s="242"/>
      <c r="I43" s="242"/>
      <c r="J43" s="242"/>
      <c r="K43" s="4">
        <f t="shared" ref="K43" ca="1" si="2">TODAY()</f>
        <v>44477</v>
      </c>
    </row>
    <row r="44" spans="1:29">
      <c r="A44" s="1" t="s">
        <v>26</v>
      </c>
      <c r="B44" s="259">
        <v>1</v>
      </c>
      <c r="C44" s="260"/>
      <c r="D44" s="243" t="s">
        <v>29</v>
      </c>
      <c r="E44" s="243"/>
      <c r="F44" s="243"/>
      <c r="G44" s="243"/>
      <c r="H44" s="243"/>
      <c r="I44" s="243"/>
      <c r="J44" s="243"/>
    </row>
    <row r="45" spans="1:29">
      <c r="A45" s="1" t="s">
        <v>23</v>
      </c>
      <c r="B45" s="251">
        <v>43149</v>
      </c>
      <c r="C45" s="252"/>
      <c r="D45" s="242"/>
      <c r="E45" s="242"/>
      <c r="F45" s="242"/>
      <c r="G45" s="242"/>
      <c r="H45" s="242"/>
      <c r="I45" s="242"/>
      <c r="J45" s="242"/>
    </row>
    <row r="47" spans="1:29">
      <c r="A47" s="1" t="s">
        <v>2</v>
      </c>
      <c r="B47" s="253" t="s">
        <v>35</v>
      </c>
      <c r="C47" s="254"/>
      <c r="D47" s="243" t="s">
        <v>38</v>
      </c>
      <c r="E47" s="243"/>
      <c r="F47" s="243"/>
      <c r="G47" s="243"/>
      <c r="H47" s="243"/>
      <c r="I47" s="243"/>
      <c r="J47" s="243"/>
    </row>
    <row r="48" spans="1:29" ht="15.75" thickBot="1">
      <c r="A48" s="1" t="s">
        <v>3</v>
      </c>
      <c r="B48" s="255" t="s">
        <v>39</v>
      </c>
      <c r="C48" s="256"/>
      <c r="D48" s="266" t="s">
        <v>41</v>
      </c>
      <c r="E48" s="266"/>
      <c r="F48" s="266"/>
      <c r="G48" s="266"/>
      <c r="H48" s="266"/>
      <c r="I48" s="266"/>
      <c r="J48" s="266"/>
    </row>
    <row r="49" spans="1:19">
      <c r="A49" s="1" t="s">
        <v>4</v>
      </c>
      <c r="B49" s="257" t="s">
        <v>40</v>
      </c>
      <c r="C49" s="258"/>
      <c r="D49" s="24" t="s">
        <v>42</v>
      </c>
      <c r="E49" s="25">
        <v>43095</v>
      </c>
      <c r="F49" s="19" t="s">
        <v>43</v>
      </c>
      <c r="G49" s="19" t="s">
        <v>37</v>
      </c>
      <c r="H49" s="19" t="s">
        <v>44</v>
      </c>
      <c r="I49" s="26">
        <v>0.23960000000000001</v>
      </c>
      <c r="J49" s="20" t="s">
        <v>45</v>
      </c>
      <c r="L49" s="32" t="s">
        <v>37</v>
      </c>
      <c r="M49" s="33">
        <v>43105</v>
      </c>
      <c r="N49" s="32" t="s">
        <v>46</v>
      </c>
      <c r="O49" s="33">
        <v>43151</v>
      </c>
      <c r="P49" s="32" t="s">
        <v>48</v>
      </c>
      <c r="Q49" s="33"/>
      <c r="R49" s="32" t="s">
        <v>50</v>
      </c>
      <c r="S49" s="33"/>
    </row>
    <row r="50" spans="1:19" ht="15.75" thickBot="1">
      <c r="A50" s="240" t="s">
        <v>36</v>
      </c>
      <c r="B50" s="241">
        <v>43066</v>
      </c>
      <c r="C50" s="241"/>
      <c r="D50" s="24" t="s">
        <v>42</v>
      </c>
      <c r="E50" s="25">
        <v>43117</v>
      </c>
      <c r="F50" s="19" t="s">
        <v>43</v>
      </c>
      <c r="G50" s="19" t="s">
        <v>46</v>
      </c>
      <c r="H50" s="19" t="s">
        <v>44</v>
      </c>
      <c r="I50" s="26">
        <v>0.42549999999999999</v>
      </c>
      <c r="J50" s="20" t="s">
        <v>47</v>
      </c>
      <c r="L50" s="238">
        <v>0.19</v>
      </c>
      <c r="M50" s="239"/>
      <c r="N50" s="238">
        <v>0.44209999999999999</v>
      </c>
      <c r="O50" s="239"/>
      <c r="P50" s="238"/>
      <c r="Q50" s="239"/>
      <c r="R50" s="238"/>
      <c r="S50" s="239"/>
    </row>
    <row r="51" spans="1:19">
      <c r="A51" s="240"/>
      <c r="B51" s="241"/>
      <c r="C51" s="241"/>
      <c r="D51" s="24" t="s">
        <v>42</v>
      </c>
      <c r="E51" s="25">
        <v>43151</v>
      </c>
      <c r="F51" s="19" t="s">
        <v>43</v>
      </c>
      <c r="G51" s="19" t="s">
        <v>48</v>
      </c>
      <c r="H51" s="19" t="s">
        <v>44</v>
      </c>
      <c r="I51" s="26">
        <v>0.7107</v>
      </c>
      <c r="J51" s="20" t="s">
        <v>49</v>
      </c>
    </row>
    <row r="52" spans="1:19">
      <c r="A52" s="5" t="s">
        <v>0</v>
      </c>
      <c r="B52" s="11" t="s">
        <v>46</v>
      </c>
      <c r="C52" s="16">
        <v>43151</v>
      </c>
      <c r="D52" s="24" t="s">
        <v>42</v>
      </c>
      <c r="E52" s="25">
        <v>43186</v>
      </c>
      <c r="F52" s="19" t="s">
        <v>43</v>
      </c>
      <c r="G52" s="19" t="s">
        <v>50</v>
      </c>
      <c r="H52" s="19" t="s">
        <v>44</v>
      </c>
      <c r="I52" s="26">
        <v>1</v>
      </c>
      <c r="J52" s="20" t="s">
        <v>51</v>
      </c>
    </row>
    <row r="53" spans="1:19" s="15" customFormat="1">
      <c r="A53" s="1" t="s">
        <v>25</v>
      </c>
      <c r="B53" s="264">
        <v>0.44209999999999999</v>
      </c>
      <c r="C53" s="265"/>
      <c r="D53" s="29" t="s">
        <v>52</v>
      </c>
      <c r="E53" s="30">
        <f>IF(B52="BM 01",B53-I49,IF(B52="BM 02",B53-I50,IF(B52="BM 03",B53-I51,IF(B52="BM 04",B53-I52))))</f>
        <v>1.6600000000000004E-2</v>
      </c>
      <c r="F53" s="243" t="str">
        <f>IF(E53&lt;=-0.0501,"OBRA ATRASADA EM RELAÇÃO AO CRONOGRAMA",IF(E53&lt;0,"OBRA REGULAR COM ATRASO TOLERÁVEL",IF(E53&gt;=0,"OBRA EM DIA")))</f>
        <v>OBRA EM DIA</v>
      </c>
      <c r="G53" s="243"/>
      <c r="H53" s="243"/>
      <c r="I53" s="243"/>
      <c r="J53" s="243"/>
    </row>
    <row r="54" spans="1:19">
      <c r="A54" s="5" t="s">
        <v>1</v>
      </c>
      <c r="B54" s="11" t="s">
        <v>48</v>
      </c>
      <c r="C54" s="10">
        <v>43151</v>
      </c>
      <c r="D54" s="267" t="str">
        <f ca="1">IF(K54&gt;C54,"BM ATRASADO","")</f>
        <v>BM ATRASADO</v>
      </c>
      <c r="E54" s="267"/>
      <c r="F54" s="267"/>
      <c r="G54" s="267"/>
      <c r="H54" s="267"/>
      <c r="I54" s="267"/>
      <c r="J54" s="267"/>
      <c r="K54" s="4">
        <f t="shared" ref="K54" ca="1" si="3">TODAY()</f>
        <v>44477</v>
      </c>
    </row>
    <row r="55" spans="1:19">
      <c r="A55" s="1" t="s">
        <v>26</v>
      </c>
      <c r="B55" s="259">
        <v>0.7107</v>
      </c>
      <c r="C55" s="260"/>
      <c r="D55" s="243"/>
      <c r="E55" s="243"/>
      <c r="F55" s="243"/>
      <c r="G55" s="243"/>
      <c r="H55" s="243"/>
      <c r="I55" s="243"/>
      <c r="J55" s="243"/>
    </row>
    <row r="56" spans="1:19">
      <c r="A56" s="1" t="s">
        <v>23</v>
      </c>
      <c r="B56" s="251">
        <v>43186</v>
      </c>
      <c r="C56" s="252"/>
      <c r="D56" s="242"/>
      <c r="E56" s="242"/>
      <c r="F56" s="242"/>
      <c r="G56" s="242"/>
      <c r="H56" s="242"/>
      <c r="I56" s="242"/>
      <c r="J56" s="242"/>
    </row>
    <row r="58" spans="1:19">
      <c r="E58" s="27"/>
      <c r="F58" s="28"/>
      <c r="I58" s="28"/>
      <c r="K58" s="15"/>
      <c r="L58" s="15"/>
      <c r="M58" s="15"/>
      <c r="N58" s="15"/>
      <c r="O58" s="15"/>
    </row>
    <row r="60" spans="1:19">
      <c r="C60" s="34"/>
    </row>
  </sheetData>
  <mergeCells count="131">
    <mergeCell ref="B42:C42"/>
    <mergeCell ref="B44:C44"/>
    <mergeCell ref="B28:C28"/>
    <mergeCell ref="B29:C29"/>
    <mergeCell ref="B30:C30"/>
    <mergeCell ref="B32:C32"/>
    <mergeCell ref="B34:C34"/>
    <mergeCell ref="B35:C35"/>
    <mergeCell ref="B38:C38"/>
    <mergeCell ref="B39:C39"/>
    <mergeCell ref="B40:C40"/>
    <mergeCell ref="D55:J55"/>
    <mergeCell ref="D56:J56"/>
    <mergeCell ref="D45:J45"/>
    <mergeCell ref="D47:J47"/>
    <mergeCell ref="D48:J48"/>
    <mergeCell ref="D54:J54"/>
    <mergeCell ref="D41:J41"/>
    <mergeCell ref="D1:J1"/>
    <mergeCell ref="D2:J2"/>
    <mergeCell ref="D4:J4"/>
    <mergeCell ref="D29:J29"/>
    <mergeCell ref="D31:J31"/>
    <mergeCell ref="D32:J32"/>
    <mergeCell ref="D30:E30"/>
    <mergeCell ref="F30:J30"/>
    <mergeCell ref="D22:J22"/>
    <mergeCell ref="D16:J16"/>
    <mergeCell ref="D17:J17"/>
    <mergeCell ref="D19:J19"/>
    <mergeCell ref="D20:J20"/>
    <mergeCell ref="D3:E3"/>
    <mergeCell ref="F3:J3"/>
    <mergeCell ref="D12:E12"/>
    <mergeCell ref="F12:J12"/>
    <mergeCell ref="B56:C56"/>
    <mergeCell ref="B47:C47"/>
    <mergeCell ref="B48:C48"/>
    <mergeCell ref="B49:C49"/>
    <mergeCell ref="B55:C55"/>
    <mergeCell ref="B8:C8"/>
    <mergeCell ref="B1:C1"/>
    <mergeCell ref="B2:C2"/>
    <mergeCell ref="B3:C3"/>
    <mergeCell ref="B5:C5"/>
    <mergeCell ref="B7:C7"/>
    <mergeCell ref="B26:C26"/>
    <mergeCell ref="B10:C10"/>
    <mergeCell ref="B11:C11"/>
    <mergeCell ref="B12:C12"/>
    <mergeCell ref="B14:C14"/>
    <mergeCell ref="B16:C16"/>
    <mergeCell ref="B17:C17"/>
    <mergeCell ref="B19:C19"/>
    <mergeCell ref="B20:C20"/>
    <mergeCell ref="B21:C21"/>
    <mergeCell ref="B53:C53"/>
    <mergeCell ref="B25:C25"/>
    <mergeCell ref="B45:C45"/>
    <mergeCell ref="D21:E21"/>
    <mergeCell ref="F21:J21"/>
    <mergeCell ref="D13:E13"/>
    <mergeCell ref="F13:J13"/>
    <mergeCell ref="D28:J28"/>
    <mergeCell ref="D11:J11"/>
    <mergeCell ref="D14:J14"/>
    <mergeCell ref="D15:J15"/>
    <mergeCell ref="D5:J5"/>
    <mergeCell ref="D6:J6"/>
    <mergeCell ref="D7:J7"/>
    <mergeCell ref="D8:J8"/>
    <mergeCell ref="D10:J10"/>
    <mergeCell ref="F53:J53"/>
    <mergeCell ref="D40:E40"/>
    <mergeCell ref="F40:J40"/>
    <mergeCell ref="D33:J33"/>
    <mergeCell ref="D34:J34"/>
    <mergeCell ref="D35:J35"/>
    <mergeCell ref="D38:J38"/>
    <mergeCell ref="D39:J39"/>
    <mergeCell ref="D42:J42"/>
    <mergeCell ref="D43:J43"/>
    <mergeCell ref="D44:J44"/>
    <mergeCell ref="X23:Y23"/>
    <mergeCell ref="L5:M5"/>
    <mergeCell ref="N5:O5"/>
    <mergeCell ref="P5:Q5"/>
    <mergeCell ref="R5:S5"/>
    <mergeCell ref="T5:U5"/>
    <mergeCell ref="V5:W5"/>
    <mergeCell ref="AB42:AC42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R42:S42"/>
    <mergeCell ref="T42:U42"/>
    <mergeCell ref="V42:W42"/>
    <mergeCell ref="X42:Y42"/>
    <mergeCell ref="Z42:AA42"/>
    <mergeCell ref="N32:O32"/>
    <mergeCell ref="L32:M32"/>
    <mergeCell ref="L50:M50"/>
    <mergeCell ref="N50:O50"/>
    <mergeCell ref="P50:Q50"/>
    <mergeCell ref="R50:S50"/>
    <mergeCell ref="A50:A51"/>
    <mergeCell ref="B50:C51"/>
    <mergeCell ref="R23:S23"/>
    <mergeCell ref="T23:U23"/>
    <mergeCell ref="V23:W23"/>
    <mergeCell ref="L42:M42"/>
    <mergeCell ref="N42:O42"/>
    <mergeCell ref="P42:Q42"/>
    <mergeCell ref="L23:M23"/>
    <mergeCell ref="N23:O23"/>
    <mergeCell ref="P23:Q23"/>
    <mergeCell ref="R32:S32"/>
    <mergeCell ref="V32:W32"/>
    <mergeCell ref="T32:U32"/>
    <mergeCell ref="P32:Q32"/>
    <mergeCell ref="D23:J23"/>
    <mergeCell ref="D24:J24"/>
    <mergeCell ref="D25:J25"/>
    <mergeCell ref="D26:J26"/>
    <mergeCell ref="B23:C23"/>
  </mergeCells>
  <conditionalFormatting sqref="D15 D24 D33 D43 D6 D54">
    <cfRule type="containsText" dxfId="286" priority="18" operator="containsText" text="ATRASADO">
      <formula>NOT(ISERROR(SEARCH("ATRASADO",D6)))</formula>
    </cfRule>
  </conditionalFormatting>
  <conditionalFormatting sqref="F53:J53">
    <cfRule type="cellIs" dxfId="285" priority="7" operator="equal">
      <formula>"OBRA EM DIA"</formula>
    </cfRule>
    <cfRule type="cellIs" dxfId="284" priority="8" operator="equal">
      <formula>"OBRA REGULAR COM ATRASO TOLERÁVEL"</formula>
    </cfRule>
    <cfRule type="cellIs" dxfId="283" priority="9" operator="equal">
      <formula>"OBRA ATRASADA EM RELAÇÃO AO CRONOGRAMA"</formula>
    </cfRule>
  </conditionalFormatting>
  <conditionalFormatting sqref="E53">
    <cfRule type="cellIs" dxfId="282" priority="6" operator="equal">
      <formula>FALSE</formula>
    </cfRule>
  </conditionalFormatting>
  <printOptions verticalCentered="1"/>
  <pageMargins left="0.51181102362204722" right="0.5118110236220472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0"/>
  <sheetViews>
    <sheetView zoomScale="85" zoomScaleNormal="85" workbookViewId="0"/>
  </sheetViews>
  <sheetFormatPr defaultRowHeight="15"/>
  <cols>
    <col min="1" max="1" width="27" style="15" bestFit="1" customWidth="1"/>
    <col min="2" max="2" width="13.28515625" style="15" customWidth="1"/>
    <col min="3" max="3" width="15.42578125" style="15" customWidth="1"/>
    <col min="4" max="4" width="0.7109375" style="15" customWidth="1"/>
    <col min="5" max="5" width="4.140625" style="15" bestFit="1" customWidth="1"/>
    <col min="6" max="6" width="13.7109375" style="15" bestFit="1" customWidth="1"/>
    <col min="7" max="7" width="10.7109375" style="15" bestFit="1" customWidth="1"/>
    <col min="8" max="8" width="12" style="15" bestFit="1" customWidth="1"/>
    <col min="9" max="9" width="14.42578125" style="15" bestFit="1" customWidth="1"/>
    <col min="10" max="10" width="12.5703125" style="15" bestFit="1" customWidth="1"/>
    <col min="11" max="11" width="12" style="15" bestFit="1" customWidth="1"/>
    <col min="12" max="16384" width="9.140625" style="15"/>
  </cols>
  <sheetData>
    <row r="1" spans="1:12" ht="15.75" thickBot="1">
      <c r="A1" s="43" t="s">
        <v>114</v>
      </c>
      <c r="B1" s="356" t="s">
        <v>115</v>
      </c>
      <c r="C1" s="356"/>
      <c r="D1" s="45"/>
      <c r="E1" s="300" t="s">
        <v>154</v>
      </c>
      <c r="F1" s="300"/>
      <c r="G1" s="300"/>
      <c r="H1" s="300"/>
      <c r="I1" s="300"/>
      <c r="J1" s="300"/>
      <c r="K1" s="301"/>
    </row>
    <row r="2" spans="1:12" ht="31.5" customHeight="1" thickBot="1">
      <c r="A2" s="48" t="s">
        <v>66</v>
      </c>
      <c r="B2" s="35">
        <v>4</v>
      </c>
      <c r="C2" s="42">
        <f>IF(B2=1,I5,IF(B2=2,I6,IF(B2=3,I7,IF(B2=4,I8,IF(B2=5,I9,IF(B2=6,I10))))))</f>
        <v>44205</v>
      </c>
      <c r="D2" s="51"/>
      <c r="E2" s="51"/>
      <c r="F2" s="50" t="s">
        <v>68</v>
      </c>
      <c r="G2" s="44">
        <f>IF(B2=1,K5-H5,IF(B2=2,K6-H6,IF(B2=3,K7-H7,IF(B2=4,K8-H8,IF(B2=5,K9-H9,IF(B2=6,K10-H10,IF(B2=7,K11-H11,IF(B2=8,K12-H12))))))))</f>
        <v>-9.8400000000000043E-2</v>
      </c>
      <c r="H2" s="282" t="str">
        <f>IF(G2&lt;=-0.0501,"EXECUÇÃO MUITO INFERIOR À PREVISÃO DE ACÚMULO PARA ESTE BM - SOLICITAR NOVO BM PARA LIBERAR PAGAMENTO",IF(G2&lt;0,"BM MENOR DO QUE O PREVISTO - MARGEM TOLERÁVEL - LIBERAR PAGAMENTO COM JUSTIFICATIVA",IF(G2&gt;=0,"BM DENTRO DO ACUMULADO PREVISTO - LIBERAR PAGAMENTO")))</f>
        <v>EXECUÇÃO MUITO INFERIOR À PREVISÃO DE ACÚMULO PARA ESTE BM - SOLICITAR NOVO BM PARA LIBERAR PAGAMENTO</v>
      </c>
      <c r="I2" s="282"/>
      <c r="J2" s="282"/>
      <c r="K2" s="283"/>
    </row>
    <row r="3" spans="1:12" ht="15.75" thickBot="1">
      <c r="A3" s="37" t="s">
        <v>210</v>
      </c>
      <c r="B3" s="192" t="s">
        <v>157</v>
      </c>
      <c r="C3" s="193">
        <v>44518</v>
      </c>
      <c r="D3" s="38"/>
      <c r="E3" s="285" t="s">
        <v>64</v>
      </c>
      <c r="F3" s="286"/>
      <c r="G3" s="286"/>
      <c r="H3" s="286"/>
      <c r="I3" s="287" t="s">
        <v>65</v>
      </c>
      <c r="J3" s="287"/>
      <c r="K3" s="288"/>
    </row>
    <row r="4" spans="1:12" ht="15.75" thickBot="1">
      <c r="A4" s="39" t="s">
        <v>211</v>
      </c>
      <c r="B4" s="194" t="s">
        <v>203</v>
      </c>
      <c r="C4" s="232">
        <v>44518</v>
      </c>
      <c r="D4" s="38"/>
      <c r="E4" s="52" t="s">
        <v>58</v>
      </c>
      <c r="F4" s="53" t="s">
        <v>61</v>
      </c>
      <c r="G4" s="54" t="s">
        <v>59</v>
      </c>
      <c r="H4" s="54" t="s">
        <v>63</v>
      </c>
      <c r="I4" s="55" t="s">
        <v>60</v>
      </c>
      <c r="J4" s="55" t="s">
        <v>62</v>
      </c>
      <c r="K4" s="56" t="s">
        <v>63</v>
      </c>
    </row>
    <row r="5" spans="1:12" ht="15.75" thickBot="1">
      <c r="A5" s="72" t="s">
        <v>86</v>
      </c>
      <c r="B5" s="291" t="s">
        <v>156</v>
      </c>
      <c r="C5" s="291"/>
      <c r="D5" s="38"/>
      <c r="E5" s="57">
        <v>1</v>
      </c>
      <c r="F5" s="58">
        <f>B10+30</f>
        <v>44069</v>
      </c>
      <c r="G5" s="59">
        <v>0.2145</v>
      </c>
      <c r="H5" s="59">
        <f>G5</f>
        <v>0.2145</v>
      </c>
      <c r="I5" s="60">
        <v>44069</v>
      </c>
      <c r="J5" s="61">
        <v>0.2203</v>
      </c>
      <c r="K5" s="63">
        <f>J5</f>
        <v>0.2203</v>
      </c>
    </row>
    <row r="6" spans="1:12" ht="15.75" thickBot="1">
      <c r="A6" s="71" t="s">
        <v>221</v>
      </c>
      <c r="B6" s="233">
        <v>946241.71</v>
      </c>
      <c r="C6" s="233">
        <f>52089.87+137241.39+11392.05</f>
        <v>200723.31</v>
      </c>
      <c r="D6" s="38"/>
      <c r="E6" s="57">
        <v>2</v>
      </c>
      <c r="F6" s="58">
        <f>F5+30</f>
        <v>44099</v>
      </c>
      <c r="G6" s="59">
        <v>0.15029999999999999</v>
      </c>
      <c r="H6" s="59">
        <f>H5+G6</f>
        <v>0.36480000000000001</v>
      </c>
      <c r="I6" s="60">
        <v>44131</v>
      </c>
      <c r="J6" s="61">
        <v>0.11650000000000001</v>
      </c>
      <c r="K6" s="63">
        <f>K5+J6</f>
        <v>0.33679999999999999</v>
      </c>
    </row>
    <row r="7" spans="1:12" ht="15.75" customHeight="1" thickBot="1">
      <c r="A7" s="37" t="s">
        <v>57</v>
      </c>
      <c r="B7" s="353" t="s">
        <v>101</v>
      </c>
      <c r="C7" s="353"/>
      <c r="D7" s="38"/>
      <c r="E7" s="57">
        <v>3</v>
      </c>
      <c r="F7" s="58">
        <f t="shared" ref="F7:F10" si="0">F6+30</f>
        <v>44129</v>
      </c>
      <c r="G7" s="59">
        <v>0.2089</v>
      </c>
      <c r="H7" s="59">
        <f>H6+G7</f>
        <v>0.57369999999999999</v>
      </c>
      <c r="I7" s="60">
        <v>44204</v>
      </c>
      <c r="J7" s="61">
        <v>0.18459999999999999</v>
      </c>
      <c r="K7" s="63">
        <f>K6+J7</f>
        <v>0.52139999999999997</v>
      </c>
    </row>
    <row r="8" spans="1:12" ht="15.75" customHeight="1" thickBot="1">
      <c r="A8" s="209" t="s">
        <v>95</v>
      </c>
      <c r="B8" s="303">
        <v>180</v>
      </c>
      <c r="C8" s="303"/>
      <c r="D8" s="38"/>
      <c r="E8" s="57">
        <v>4</v>
      </c>
      <c r="F8" s="58">
        <f t="shared" si="0"/>
        <v>44159</v>
      </c>
      <c r="G8" s="59">
        <v>0.1429</v>
      </c>
      <c r="H8" s="59">
        <f t="shared" ref="H8:H10" si="1">H7+G8</f>
        <v>0.71660000000000001</v>
      </c>
      <c r="I8" s="60">
        <v>44205</v>
      </c>
      <c r="J8" s="61">
        <v>9.6799999999999997E-2</v>
      </c>
      <c r="K8" s="63">
        <f>K7+J8</f>
        <v>0.61819999999999997</v>
      </c>
    </row>
    <row r="9" spans="1:12" ht="15.75" thickBot="1">
      <c r="A9" s="76" t="s">
        <v>96</v>
      </c>
      <c r="B9" s="284">
        <f>90+89+120</f>
        <v>299</v>
      </c>
      <c r="C9" s="284"/>
      <c r="D9" s="38"/>
      <c r="E9" s="57">
        <v>5</v>
      </c>
      <c r="F9" s="58">
        <f t="shared" si="0"/>
        <v>44189</v>
      </c>
      <c r="G9" s="59">
        <v>0.14330000000000001</v>
      </c>
      <c r="H9" s="59">
        <f t="shared" si="1"/>
        <v>0.8599</v>
      </c>
      <c r="I9" s="60"/>
      <c r="J9" s="61"/>
      <c r="K9" s="63">
        <f t="shared" ref="K9:K10" si="2">K8+J9</f>
        <v>0.61819999999999997</v>
      </c>
    </row>
    <row r="10" spans="1:12" ht="15.75" thickBot="1">
      <c r="A10" s="39" t="s">
        <v>36</v>
      </c>
      <c r="B10" s="271">
        <v>44039</v>
      </c>
      <c r="C10" s="271"/>
      <c r="D10" s="40"/>
      <c r="E10" s="57">
        <v>6</v>
      </c>
      <c r="F10" s="58">
        <f t="shared" si="0"/>
        <v>44219</v>
      </c>
      <c r="G10" s="59">
        <v>0.1401</v>
      </c>
      <c r="H10" s="59">
        <f t="shared" si="1"/>
        <v>1</v>
      </c>
      <c r="I10" s="62"/>
      <c r="J10" s="61"/>
      <c r="K10" s="63">
        <f t="shared" si="2"/>
        <v>0.61819999999999997</v>
      </c>
    </row>
    <row r="11" spans="1:12" ht="15.75" thickBot="1">
      <c r="A11" s="37" t="s">
        <v>69</v>
      </c>
      <c r="B11" s="272">
        <f t="shared" ref="B11" si="3">B10+B8+B9</f>
        <v>44518</v>
      </c>
      <c r="C11" s="272"/>
      <c r="D11" s="38"/>
      <c r="E11" s="89"/>
      <c r="F11" s="90"/>
      <c r="G11" s="91"/>
      <c r="H11" s="91"/>
      <c r="I11" s="89"/>
      <c r="J11" s="90"/>
      <c r="K11" s="96"/>
      <c r="L11" s="49"/>
    </row>
    <row r="12" spans="1:12" ht="15.75" thickBot="1">
      <c r="A12" s="39" t="s">
        <v>25</v>
      </c>
      <c r="B12" s="273">
        <f>IF(B2=1,K5,IF(B2=2,K6,IF(B2=3,K7,IF(B2=4,K8,IF(B2=5,K9,IF(B2=6,K10,IF(B2=7,K11,IF(B2=8,K12))))))))</f>
        <v>0.61819999999999997</v>
      </c>
      <c r="C12" s="273"/>
      <c r="D12" s="38"/>
      <c r="E12" s="92"/>
      <c r="F12" s="90"/>
      <c r="G12" s="91"/>
      <c r="H12" s="91"/>
      <c r="I12" s="92"/>
      <c r="J12" s="90"/>
      <c r="K12" s="96"/>
      <c r="L12" s="49"/>
    </row>
    <row r="13" spans="1:12">
      <c r="A13" s="37" t="s">
        <v>67</v>
      </c>
      <c r="B13" s="46">
        <f>IF(B$2=1,2,IF(B$2=2,3,IF(B$2=3,4,IF(B$2=4,5,IF(B$2=5,6,IF(B$2=6,7,IF(B$2=7,8)))))))</f>
        <v>5</v>
      </c>
      <c r="C13" s="47">
        <f>IF(B$2=1,F$6,IF(B$2=2,F$7,IF(B$2=3,F$8,IF(B$2=4,F$9,IF(B$2=5,F$10,IF(B$2=6,F$11,IF(B$2=7,F$12)))))))</f>
        <v>44189</v>
      </c>
      <c r="D13" s="38"/>
      <c r="E13" s="93"/>
      <c r="F13" s="93"/>
      <c r="G13" s="93"/>
      <c r="H13" s="93"/>
      <c r="I13" s="93"/>
      <c r="J13" s="93"/>
      <c r="K13" s="94"/>
    </row>
    <row r="14" spans="1:12" ht="30">
      <c r="A14" s="65" t="s">
        <v>84</v>
      </c>
      <c r="B14" s="274">
        <f>IF($B$2=1,H$6-K$5,IF($B$2=2,H$7-K$6,IF($B$2=3,H$8-K$7,IF($B$2=4,H$9-K$8,IF($B$2=5,H$10-K$9,IF($B$2=6,H$11-K$10,IF($B$2=7,H$12-K$11)))))))</f>
        <v>0.24170000000000003</v>
      </c>
      <c r="C14" s="274"/>
      <c r="D14" s="41"/>
      <c r="E14" s="305" t="str">
        <f ca="1">IF(TODAY()&gt;C13,"OBRA ATRASADA","")</f>
        <v>OBRA ATRASADA</v>
      </c>
      <c r="F14" s="305"/>
      <c r="G14" s="98" t="str">
        <f ca="1">IF(TODAY()&gt;C13,"EM","")</f>
        <v>EM</v>
      </c>
      <c r="H14" s="98">
        <f ca="1">IF(TODAY()&gt;C13,TODAY()-C13,"")</f>
        <v>288</v>
      </c>
      <c r="I14" s="327" t="str">
        <f t="shared" ref="I14" ca="1" si="4">IF(TODAY()&gt;C13,"DIAS EM RELAÇÃO AO CRONOGRAMA","")</f>
        <v>DIAS EM RELAÇÃO AO CRONOGRAMA</v>
      </c>
      <c r="J14" s="327"/>
      <c r="K14" s="328"/>
    </row>
    <row r="16" spans="1:12" ht="15" customHeight="1">
      <c r="A16" s="280" t="s">
        <v>158</v>
      </c>
      <c r="B16" s="280"/>
      <c r="C16" s="280"/>
    </row>
    <row r="17" spans="1:11">
      <c r="A17" s="280"/>
      <c r="B17" s="280"/>
      <c r="C17" s="280"/>
    </row>
    <row r="18" spans="1:11">
      <c r="A18" s="280"/>
      <c r="B18" s="280"/>
      <c r="C18" s="280"/>
    </row>
    <row r="19" spans="1:11">
      <c r="A19" s="280"/>
      <c r="B19" s="280"/>
      <c r="C19" s="280"/>
    </row>
    <row r="20" spans="1:11">
      <c r="A20" s="280"/>
      <c r="B20" s="280"/>
      <c r="C20" s="280"/>
    </row>
    <row r="21" spans="1:11">
      <c r="A21" s="280"/>
      <c r="B21" s="280"/>
      <c r="C21" s="280"/>
    </row>
    <row r="22" spans="1:11">
      <c r="A22" s="74"/>
      <c r="B22" s="74"/>
      <c r="C22" s="74"/>
    </row>
    <row r="23" spans="1:11">
      <c r="A23" s="253" t="s">
        <v>139</v>
      </c>
      <c r="B23" s="359"/>
      <c r="C23" s="359"/>
      <c r="D23" s="359"/>
      <c r="E23" s="359"/>
      <c r="F23" s="359"/>
      <c r="G23" s="254"/>
    </row>
    <row r="24" spans="1:11">
      <c r="A24" s="357">
        <v>44120</v>
      </c>
      <c r="B24" s="247" t="s">
        <v>175</v>
      </c>
      <c r="C24" s="248"/>
      <c r="D24" s="248"/>
      <c r="E24" s="248"/>
      <c r="F24" s="248"/>
      <c r="G24" s="249"/>
    </row>
    <row r="25" spans="1:11">
      <c r="A25" s="358"/>
      <c r="B25" s="247" t="s">
        <v>176</v>
      </c>
      <c r="C25" s="248"/>
      <c r="D25" s="248"/>
      <c r="E25" s="248"/>
      <c r="F25" s="248"/>
      <c r="G25" s="249"/>
    </row>
    <row r="26" spans="1:11">
      <c r="A26" s="357">
        <v>44134</v>
      </c>
      <c r="B26" s="360" t="s">
        <v>177</v>
      </c>
      <c r="C26" s="361"/>
      <c r="D26" s="361"/>
      <c r="E26" s="361"/>
      <c r="F26" s="361"/>
      <c r="G26" s="362"/>
    </row>
    <row r="27" spans="1:11">
      <c r="A27" s="358"/>
      <c r="B27" s="360" t="s">
        <v>178</v>
      </c>
      <c r="C27" s="361"/>
      <c r="D27" s="361"/>
      <c r="E27" s="361"/>
      <c r="F27" s="361"/>
      <c r="G27" s="362"/>
    </row>
    <row r="28" spans="1:11">
      <c r="A28" s="106"/>
      <c r="B28" s="107"/>
      <c r="C28" s="107"/>
      <c r="D28" s="107"/>
      <c r="E28" s="107"/>
      <c r="F28" s="107"/>
      <c r="G28" s="107"/>
    </row>
    <row r="30" spans="1:11">
      <c r="A30" s="281" t="s">
        <v>168</v>
      </c>
      <c r="B30" s="281"/>
      <c r="C30" s="281"/>
      <c r="D30" s="281"/>
      <c r="E30" s="281"/>
      <c r="F30" s="281"/>
      <c r="G30" s="281"/>
      <c r="H30" s="281"/>
      <c r="I30" s="281"/>
      <c r="J30" s="281"/>
      <c r="K30" s="281"/>
    </row>
  </sheetData>
  <mergeCells count="24">
    <mergeCell ref="B7:C7"/>
    <mergeCell ref="B8:C8"/>
    <mergeCell ref="B9:C9"/>
    <mergeCell ref="B1:C1"/>
    <mergeCell ref="E1:K1"/>
    <mergeCell ref="H2:K2"/>
    <mergeCell ref="E3:H3"/>
    <mergeCell ref="I3:K3"/>
    <mergeCell ref="B5:C5"/>
    <mergeCell ref="A30:K30"/>
    <mergeCell ref="B26:G26"/>
    <mergeCell ref="A26:A27"/>
    <mergeCell ref="B10:C10"/>
    <mergeCell ref="B11:C11"/>
    <mergeCell ref="B12:C12"/>
    <mergeCell ref="A16:C21"/>
    <mergeCell ref="B14:C14"/>
    <mergeCell ref="E14:F14"/>
    <mergeCell ref="I14:K14"/>
    <mergeCell ref="A23:G23"/>
    <mergeCell ref="B24:G24"/>
    <mergeCell ref="B25:G25"/>
    <mergeCell ref="A24:A25"/>
    <mergeCell ref="B27:G27"/>
  </mergeCells>
  <conditionalFormatting sqref="G2">
    <cfRule type="cellIs" dxfId="107" priority="17" operator="greaterThanOrEqual">
      <formula>0</formula>
    </cfRule>
    <cfRule type="cellIs" dxfId="106" priority="18" operator="lessThan">
      <formula>0</formula>
    </cfRule>
  </conditionalFormatting>
  <conditionalFormatting sqref="E14">
    <cfRule type="containsText" dxfId="105" priority="16" operator="containsText" text="OBRA ATRASADA">
      <formula>NOT(ISERROR(SEARCH("OBRA ATRASADA",E14)))</formula>
    </cfRule>
  </conditionalFormatting>
  <conditionalFormatting sqref="H2">
    <cfRule type="cellIs" dxfId="104" priority="13" operator="equal">
      <formula>"BM DENTRO DO ACUMULADO PREVISTO - PODE SER PAGO"</formula>
    </cfRule>
    <cfRule type="cellIs" dxfId="103" priority="14" operator="equal">
      <formula>"BM MENOR DO QUE O PREVISO - MARGEM TOLERÁVEL - LIBERAR PAGAMENTO COM JUSTIFICATIVA"</formula>
    </cfRule>
    <cfRule type="cellIs" dxfId="102" priority="15" operator="equal">
      <formula>"EXECUÇÃO MUITO INFERIOR À PREVISÃO DE ACÚMULO PARA ESTE BM - AGUARDANDO NOVO BM PARA LIBERAR PAGAMENTO"</formula>
    </cfRule>
  </conditionalFormatting>
  <conditionalFormatting sqref="H2">
    <cfRule type="cellIs" dxfId="101" priority="10" operator="equal">
      <formula>"PAGAMENTO DO BM LIBERADO"</formula>
    </cfRule>
    <cfRule type="cellIs" dxfId="100" priority="11" operator="equal">
      <formula>"BM MENOR DO QUE O PREVISO - MARGEM TOLERÁVEL - LIBERAR PAGAMENTO COM JUSTIFICATIVA"</formula>
    </cfRule>
    <cfRule type="cellIs" dxfId="99" priority="12" operator="equal">
      <formula>"EXECUÇÃO MUITO INFERIOR À PREVISTA PARA ESTE BM - AGUARDANDO NOVO BM PARA LIBERAR PAGAMENTO"</formula>
    </cfRule>
  </conditionalFormatting>
  <conditionalFormatting sqref="H2">
    <cfRule type="cellIs" dxfId="98" priority="7" operator="equal">
      <formula>"BM DENTRO DO ACUMULADO PREVISTO - PODE SER PAGO"</formula>
    </cfRule>
    <cfRule type="cellIs" dxfId="97" priority="8" operator="equal">
      <formula>"BM MENOR DO QUE O PREVISO - MARGEM TOLERÁVEL - LIBERAR PAGAMENTO COM JUSTIFICATIVA"</formula>
    </cfRule>
    <cfRule type="cellIs" dxfId="96" priority="9" operator="equal">
      <formula>"EXECUÇÃO MUITO INFERIOR À PREVISÃO DE ACÚMULO PARA ESTE BM - SOLICITAR NOVO BM PARA LIBERAR PAGAMENTO"</formula>
    </cfRule>
  </conditionalFormatting>
  <conditionalFormatting sqref="C13">
    <cfRule type="expression" dxfId="95" priority="6">
      <formula>C13&lt;(TODAY())</formula>
    </cfRule>
  </conditionalFormatting>
  <conditionalFormatting sqref="H2">
    <cfRule type="cellIs" dxfId="94" priority="3" operator="equal">
      <formula>"BM DENTRO DO ACUMULADO PREVISTO - LIBERAR PAGAMENTO"</formula>
    </cfRule>
    <cfRule type="cellIs" dxfId="93" priority="4" operator="equal">
      <formula>"BM MENOR DO QUE O PREVISTO - MARGEM TOLERÁVEL - LIBERAR PAGAMENTO COM JUSTIFICATIVA"</formula>
    </cfRule>
    <cfRule type="cellIs" dxfId="92" priority="5" operator="equal">
      <formula>"EXECUÇÃO MUITO INFERIOR À PREVISÃO DE ACÚMULO PARA ESTE BM - SOLICITAR NOVO BM PARA LIBERAR PAGAMENTO"</formula>
    </cfRule>
  </conditionalFormatting>
  <conditionalFormatting sqref="B14:C14">
    <cfRule type="cellIs" dxfId="91" priority="2" operator="lessThanOrEqual">
      <formula>0</formula>
    </cfRule>
  </conditionalFormatting>
  <conditionalFormatting sqref="A14">
    <cfRule type="expression" dxfId="90" priority="1">
      <formula>$B$13&lt;=0</formula>
    </cfRule>
  </conditionalFormatting>
  <pageMargins left="0.51181102362204722" right="0.51181102362204722" top="1.1811023622047245" bottom="0.78740157480314965" header="0.31496062992125984" footer="0.31496062992125984"/>
  <pageSetup paperSize="9" orientation="landscape" horizontalDpi="4294967293" verticalDpi="4294967293" r:id="rId1"/>
  <headerFooter>
    <oddHeader>&amp;C&amp;G
Prefeitura Municipal de Restinga Sêca
- Acompanhamento de evolução de obra -</oddHeader>
    <oddFooter>&amp;CDocumento impresso em &amp;D</oddFooter>
  </headerFooter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26"/>
  <sheetViews>
    <sheetView zoomScale="85" zoomScaleNormal="85" workbookViewId="0"/>
  </sheetViews>
  <sheetFormatPr defaultRowHeight="15"/>
  <cols>
    <col min="1" max="1" width="27" style="15" bestFit="1" customWidth="1"/>
    <col min="2" max="2" width="13.28515625" style="15" customWidth="1"/>
    <col min="3" max="3" width="15.42578125" style="15" customWidth="1"/>
    <col min="4" max="4" width="0.7109375" style="15" customWidth="1"/>
    <col min="5" max="5" width="4.140625" style="15" bestFit="1" customWidth="1"/>
    <col min="6" max="6" width="13.7109375" style="15" bestFit="1" customWidth="1"/>
    <col min="7" max="7" width="10.7109375" style="15" bestFit="1" customWidth="1"/>
    <col min="8" max="8" width="12" style="15" bestFit="1" customWidth="1"/>
    <col min="9" max="9" width="14.42578125" style="15" bestFit="1" customWidth="1"/>
    <col min="10" max="10" width="12.5703125" style="15" bestFit="1" customWidth="1"/>
    <col min="11" max="11" width="12" style="15" bestFit="1" customWidth="1"/>
    <col min="12" max="14" width="9.140625" style="15"/>
    <col min="15" max="15" width="10.7109375" style="15" bestFit="1" customWidth="1"/>
    <col min="16" max="16384" width="9.140625" style="15"/>
  </cols>
  <sheetData>
    <row r="1" spans="1:15" ht="15.75" thickBot="1">
      <c r="A1" s="43" t="s">
        <v>114</v>
      </c>
      <c r="B1" s="356" t="s">
        <v>115</v>
      </c>
      <c r="C1" s="356"/>
      <c r="D1" s="45"/>
      <c r="E1" s="300" t="s">
        <v>155</v>
      </c>
      <c r="F1" s="300"/>
      <c r="G1" s="300"/>
      <c r="H1" s="300"/>
      <c r="I1" s="300"/>
      <c r="J1" s="300"/>
      <c r="K1" s="301"/>
    </row>
    <row r="2" spans="1:15" ht="41.25" customHeight="1" thickBot="1">
      <c r="A2" s="48" t="s">
        <v>66</v>
      </c>
      <c r="B2" s="35">
        <v>4</v>
      </c>
      <c r="C2" s="42">
        <f>IF(B2=1,I5,IF(B2=2,I6,IF(B2=3,I7,IF(B2=4,I8,IF(B2=5,I9,IF(B2=6,I10))))))</f>
        <v>44390</v>
      </c>
      <c r="D2" s="51"/>
      <c r="E2" s="51"/>
      <c r="F2" s="50" t="s">
        <v>68</v>
      </c>
      <c r="G2" s="44">
        <f>IF(B2=1,K5-H5,IF(B2=2,K6-H6,IF(B2=3,K7-H7,IF(B2=4,K8-H8,IF(B2=5,K9-H9,IF(B2=6,K10-H10,IF(B2=7,K11-H11,IF(B2=8,K12-H12))))))))</f>
        <v>-0.16239999999999999</v>
      </c>
      <c r="H2" s="282" t="str">
        <f>IF(G2&lt;=-0.0501,"EXECUÇÃO MUITO INFERIOR À PREVISÃO DE ACÚMULO PARA ESTE BM - SOLICITAR NOVO BM PARA LIBERAR PAGAMENTO",IF(G2&lt;0,"BM MENOR DO QUE O PREVISTO - MARGEM TOLERÁVEL - LIBERAR PAGAMENTO COM JUSTIFICATIVA",IF(G2&gt;=0,"BM DENTRO DO ACUMULADO PREVISTO - LIBERAR PAGAMENTO")))</f>
        <v>EXECUÇÃO MUITO INFERIOR À PREVISÃO DE ACÚMULO PARA ESTE BM - SOLICITAR NOVO BM PARA LIBERAR PAGAMENTO</v>
      </c>
      <c r="I2" s="282"/>
      <c r="J2" s="282"/>
      <c r="K2" s="283"/>
    </row>
    <row r="3" spans="1:15" ht="15.75" thickBot="1">
      <c r="A3" s="37" t="s">
        <v>210</v>
      </c>
      <c r="B3" s="192" t="s">
        <v>159</v>
      </c>
      <c r="C3" s="193">
        <v>44489</v>
      </c>
      <c r="D3" s="38"/>
      <c r="E3" s="285" t="s">
        <v>64</v>
      </c>
      <c r="F3" s="286"/>
      <c r="G3" s="286"/>
      <c r="H3" s="286"/>
      <c r="I3" s="287" t="s">
        <v>65</v>
      </c>
      <c r="J3" s="287"/>
      <c r="K3" s="288"/>
      <c r="N3" s="15" t="s">
        <v>209</v>
      </c>
    </row>
    <row r="4" spans="1:15" ht="15.75" thickBot="1">
      <c r="A4" s="39" t="s">
        <v>211</v>
      </c>
      <c r="B4" s="194" t="s">
        <v>203</v>
      </c>
      <c r="C4" s="236">
        <v>44489</v>
      </c>
      <c r="D4" s="38"/>
      <c r="E4" s="52" t="s">
        <v>58</v>
      </c>
      <c r="F4" s="53" t="s">
        <v>61</v>
      </c>
      <c r="G4" s="54" t="s">
        <v>59</v>
      </c>
      <c r="H4" s="54" t="s">
        <v>63</v>
      </c>
      <c r="I4" s="55" t="s">
        <v>60</v>
      </c>
      <c r="J4" s="55" t="s">
        <v>62</v>
      </c>
      <c r="K4" s="56" t="s">
        <v>63</v>
      </c>
    </row>
    <row r="5" spans="1:15" ht="15.75" thickBot="1">
      <c r="A5" s="72" t="s">
        <v>86</v>
      </c>
      <c r="B5" s="291" t="s">
        <v>160</v>
      </c>
      <c r="C5" s="291"/>
      <c r="D5" s="38"/>
      <c r="E5" s="57">
        <v>1</v>
      </c>
      <c r="F5" s="58">
        <f>B10+30</f>
        <v>44071</v>
      </c>
      <c r="G5" s="59">
        <v>0.1704</v>
      </c>
      <c r="H5" s="59">
        <f>G5</f>
        <v>0.1704</v>
      </c>
      <c r="I5" s="60">
        <v>44258</v>
      </c>
      <c r="J5" s="61">
        <v>0.30690000000000001</v>
      </c>
      <c r="K5" s="63">
        <f>J5</f>
        <v>0.30690000000000001</v>
      </c>
    </row>
    <row r="6" spans="1:15" ht="15.75" thickBot="1">
      <c r="A6" s="71" t="s">
        <v>221</v>
      </c>
      <c r="B6" s="233">
        <v>536474.78</v>
      </c>
      <c r="C6" s="233">
        <f>370.2</f>
        <v>370.2</v>
      </c>
      <c r="D6" s="38"/>
      <c r="E6" s="57">
        <v>2</v>
      </c>
      <c r="F6" s="58">
        <f>F5+30</f>
        <v>44101</v>
      </c>
      <c r="G6" s="59">
        <v>0.30149999999999999</v>
      </c>
      <c r="H6" s="59">
        <f>H5+G6</f>
        <v>0.47189999999999999</v>
      </c>
      <c r="I6" s="60">
        <v>44305</v>
      </c>
      <c r="J6" s="61">
        <v>4.0099999999999997E-2</v>
      </c>
      <c r="K6" s="63">
        <f>K5+J6</f>
        <v>0.34699999999999998</v>
      </c>
    </row>
    <row r="7" spans="1:15" ht="15.75" customHeight="1" thickBot="1">
      <c r="A7" s="37" t="s">
        <v>57</v>
      </c>
      <c r="B7" s="353" t="s">
        <v>73</v>
      </c>
      <c r="C7" s="353"/>
      <c r="D7" s="38"/>
      <c r="E7" s="57">
        <v>3</v>
      </c>
      <c r="F7" s="58">
        <f t="shared" ref="F7:F9" si="0">F6+30</f>
        <v>44131</v>
      </c>
      <c r="G7" s="59">
        <v>0.34960000000000002</v>
      </c>
      <c r="H7" s="59">
        <f>H6+G7</f>
        <v>0.82150000000000001</v>
      </c>
      <c r="I7" s="60">
        <v>44319</v>
      </c>
      <c r="J7" s="61">
        <v>0.18090000000000001</v>
      </c>
      <c r="K7" s="63">
        <f>K6+J7</f>
        <v>0.52790000000000004</v>
      </c>
    </row>
    <row r="8" spans="1:15" ht="15.75" customHeight="1" thickBot="1">
      <c r="A8" s="209" t="s">
        <v>95</v>
      </c>
      <c r="B8" s="303">
        <v>150</v>
      </c>
      <c r="C8" s="303"/>
      <c r="D8" s="38"/>
      <c r="E8" s="57">
        <v>4</v>
      </c>
      <c r="F8" s="58">
        <f t="shared" si="0"/>
        <v>44161</v>
      </c>
      <c r="G8" s="59">
        <v>0.1181</v>
      </c>
      <c r="H8" s="59">
        <f t="shared" ref="H8:H9" si="1">H7+G8</f>
        <v>0.93959999999999999</v>
      </c>
      <c r="I8" s="60">
        <v>44390</v>
      </c>
      <c r="J8" s="61">
        <v>0.24929999999999999</v>
      </c>
      <c r="K8" s="63">
        <f>K7+J8</f>
        <v>0.7772</v>
      </c>
    </row>
    <row r="9" spans="1:15" ht="15.75" thickBot="1">
      <c r="A9" s="76" t="s">
        <v>96</v>
      </c>
      <c r="B9" s="284">
        <f>120+88+30+60</f>
        <v>298</v>
      </c>
      <c r="C9" s="284"/>
      <c r="D9" s="38"/>
      <c r="E9" s="57">
        <v>5</v>
      </c>
      <c r="F9" s="58">
        <f t="shared" si="0"/>
        <v>44191</v>
      </c>
      <c r="G9" s="59">
        <v>6.0400000000000002E-2</v>
      </c>
      <c r="H9" s="59">
        <f t="shared" si="1"/>
        <v>1</v>
      </c>
      <c r="I9" s="60"/>
      <c r="J9" s="61"/>
      <c r="K9" s="63">
        <f t="shared" ref="K9" si="2">K8+J9</f>
        <v>0.7772</v>
      </c>
    </row>
    <row r="10" spans="1:15" ht="15.75" thickBot="1">
      <c r="A10" s="39" t="s">
        <v>36</v>
      </c>
      <c r="B10" s="271">
        <v>44041</v>
      </c>
      <c r="C10" s="271"/>
      <c r="D10" s="40"/>
      <c r="E10" s="57"/>
      <c r="F10" s="58"/>
      <c r="G10" s="59"/>
      <c r="H10" s="59"/>
      <c r="I10" s="87"/>
      <c r="J10" s="59"/>
      <c r="K10" s="100"/>
      <c r="O10" s="4"/>
    </row>
    <row r="11" spans="1:15" ht="15.75" thickBot="1">
      <c r="A11" s="37" t="s">
        <v>69</v>
      </c>
      <c r="B11" s="272">
        <f>B10+B8+B9</f>
        <v>44489</v>
      </c>
      <c r="C11" s="272"/>
      <c r="D11" s="38"/>
      <c r="E11" s="89"/>
      <c r="F11" s="90"/>
      <c r="G11" s="91"/>
      <c r="H11" s="91"/>
      <c r="I11" s="89"/>
      <c r="J11" s="90"/>
      <c r="K11" s="96"/>
      <c r="L11" s="49"/>
    </row>
    <row r="12" spans="1:15" ht="15.75" thickBot="1">
      <c r="A12" s="39" t="s">
        <v>25</v>
      </c>
      <c r="B12" s="273">
        <f>IF(B2=1,K5,IF(B2=2,K6,IF(B2=3,K7,IF(B2=4,K8,IF(B2=5,K9,IF(B2=6,K10,IF(B2=7,K11,IF(B2=8,K12))))))))</f>
        <v>0.7772</v>
      </c>
      <c r="C12" s="273"/>
      <c r="D12" s="38"/>
      <c r="E12" s="92"/>
      <c r="F12" s="90"/>
      <c r="G12" s="91"/>
      <c r="H12" s="91"/>
      <c r="I12" s="92"/>
      <c r="J12" s="90"/>
      <c r="K12" s="96"/>
      <c r="L12" s="49"/>
    </row>
    <row r="13" spans="1:15">
      <c r="A13" s="37" t="s">
        <v>67</v>
      </c>
      <c r="B13" s="46">
        <f>IF(B$2=1,2,IF(B$2=2,3,IF(B$2=3,4,IF(B$2=4,5,IF(B$2=5,6,IF(B$2=6,7,IF(B$2=7,8)))))))</f>
        <v>5</v>
      </c>
      <c r="C13" s="47">
        <f>IF(B$2=1,F$6,IF(B$2=2,F$7,IF(B$2=3,F$8,IF(B$2=4,F$9,IF(B$2=5,F$10,IF(B$2=6,F$11,IF(B$2=7,F$12)))))))</f>
        <v>44191</v>
      </c>
      <c r="D13" s="38"/>
      <c r="E13" s="93"/>
      <c r="F13" s="93"/>
      <c r="G13" s="93"/>
      <c r="H13" s="93"/>
      <c r="I13" s="93"/>
      <c r="J13" s="93"/>
      <c r="K13" s="94"/>
    </row>
    <row r="14" spans="1:15" ht="30">
      <c r="A14" s="65" t="s">
        <v>84</v>
      </c>
      <c r="B14" s="274">
        <f>IF($B$2=1,H$6-K$5,IF($B$2=2,H$7-K$6,IF($B$2=3,H$8-K$7,IF($B$2=4,H$9-K$8,IF($B$2=5,H$10-K$9,IF($B$2=6,H$11-K$10,IF($B$2=7,H$12-K$11)))))))</f>
        <v>0.2228</v>
      </c>
      <c r="C14" s="274"/>
      <c r="D14" s="41"/>
      <c r="E14" s="305" t="str">
        <f ca="1">IF(TODAY()&gt;C13,"OBRA ATRASADA","")</f>
        <v>OBRA ATRASADA</v>
      </c>
      <c r="F14" s="305"/>
      <c r="G14" s="98" t="str">
        <f ca="1">IF(TODAY()&gt;C13,"EM","")</f>
        <v>EM</v>
      </c>
      <c r="H14" s="98">
        <f ca="1">IF(TODAY()&gt;C13,TODAY()-C13,"")</f>
        <v>286</v>
      </c>
      <c r="I14" s="327" t="str">
        <f t="shared" ref="I14" ca="1" si="3">IF(TODAY()&gt;C13,"DIAS EM RELAÇÃO AO CRONOGRAMA","")</f>
        <v>DIAS EM RELAÇÃO AO CRONOGRAMA</v>
      </c>
      <c r="J14" s="327"/>
      <c r="K14" s="328"/>
    </row>
    <row r="16" spans="1:15" ht="15" customHeight="1">
      <c r="A16" s="280" t="s">
        <v>161</v>
      </c>
      <c r="B16" s="280"/>
      <c r="C16" s="280"/>
    </row>
    <row r="17" spans="1:11">
      <c r="A17" s="280"/>
      <c r="B17" s="280"/>
      <c r="C17" s="280"/>
    </row>
    <row r="18" spans="1:11">
      <c r="A18" s="280"/>
      <c r="B18" s="280"/>
      <c r="C18" s="280"/>
    </row>
    <row r="19" spans="1:11">
      <c r="A19" s="280"/>
      <c r="B19" s="280"/>
      <c r="C19" s="280"/>
    </row>
    <row r="20" spans="1:11">
      <c r="A20" s="280"/>
      <c r="B20" s="280"/>
      <c r="C20" s="280"/>
    </row>
    <row r="21" spans="1:11">
      <c r="A21" s="280"/>
      <c r="B21" s="280"/>
      <c r="C21" s="280"/>
    </row>
    <row r="22" spans="1:11">
      <c r="A22" s="74"/>
      <c r="B22" s="74"/>
      <c r="C22" s="74"/>
    </row>
    <row r="23" spans="1:11">
      <c r="A23" s="253" t="s">
        <v>139</v>
      </c>
      <c r="B23" s="359"/>
      <c r="C23" s="359"/>
      <c r="D23" s="359"/>
      <c r="E23" s="359"/>
      <c r="F23" s="359"/>
      <c r="G23" s="254"/>
    </row>
    <row r="26" spans="1:11">
      <c r="A26" s="281" t="s">
        <v>168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</sheetData>
  <mergeCells count="18">
    <mergeCell ref="A26:K26"/>
    <mergeCell ref="I14:K14"/>
    <mergeCell ref="B12:C12"/>
    <mergeCell ref="B1:C1"/>
    <mergeCell ref="E1:K1"/>
    <mergeCell ref="H2:K2"/>
    <mergeCell ref="E3:H3"/>
    <mergeCell ref="I3:K3"/>
    <mergeCell ref="B9:C9"/>
    <mergeCell ref="A16:C21"/>
    <mergeCell ref="A23:G23"/>
    <mergeCell ref="B5:C5"/>
    <mergeCell ref="B7:C7"/>
    <mergeCell ref="B8:C8"/>
    <mergeCell ref="B10:C10"/>
    <mergeCell ref="B11:C11"/>
    <mergeCell ref="B14:C14"/>
    <mergeCell ref="E14:F14"/>
  </mergeCells>
  <conditionalFormatting sqref="G2">
    <cfRule type="cellIs" dxfId="89" priority="17" operator="greaterThanOrEqual">
      <formula>0</formula>
    </cfRule>
    <cfRule type="cellIs" dxfId="88" priority="18" operator="lessThan">
      <formula>0</formula>
    </cfRule>
  </conditionalFormatting>
  <conditionalFormatting sqref="E14">
    <cfRule type="containsText" dxfId="87" priority="16" operator="containsText" text="OBRA ATRASADA">
      <formula>NOT(ISERROR(SEARCH("OBRA ATRASADA",E14)))</formula>
    </cfRule>
  </conditionalFormatting>
  <conditionalFormatting sqref="H2">
    <cfRule type="cellIs" dxfId="86" priority="13" operator="equal">
      <formula>"BM DENTRO DO ACUMULADO PREVISTO - PODE SER PAGO"</formula>
    </cfRule>
    <cfRule type="cellIs" dxfId="85" priority="14" operator="equal">
      <formula>"BM MENOR DO QUE O PREVISO - MARGEM TOLERÁVEL - LIBERAR PAGAMENTO COM JUSTIFICATIVA"</formula>
    </cfRule>
    <cfRule type="cellIs" dxfId="84" priority="15" operator="equal">
      <formula>"EXECUÇÃO MUITO INFERIOR À PREVISÃO DE ACÚMULO PARA ESTE BM - AGUARDANDO NOVO BM PARA LIBERAR PAGAMENTO"</formula>
    </cfRule>
  </conditionalFormatting>
  <conditionalFormatting sqref="H2">
    <cfRule type="cellIs" dxfId="83" priority="10" operator="equal">
      <formula>"PAGAMENTO DO BM LIBERADO"</formula>
    </cfRule>
    <cfRule type="cellIs" dxfId="82" priority="11" operator="equal">
      <formula>"BM MENOR DO QUE O PREVISO - MARGEM TOLERÁVEL - LIBERAR PAGAMENTO COM JUSTIFICATIVA"</formula>
    </cfRule>
    <cfRule type="cellIs" dxfId="81" priority="12" operator="equal">
      <formula>"EXECUÇÃO MUITO INFERIOR À PREVISTA PARA ESTE BM - AGUARDANDO NOVO BM PARA LIBERAR PAGAMENTO"</formula>
    </cfRule>
  </conditionalFormatting>
  <conditionalFormatting sqref="H2">
    <cfRule type="cellIs" dxfId="80" priority="7" operator="equal">
      <formula>"BM DENTRO DO ACUMULADO PREVISTO - PODE SER PAGO"</formula>
    </cfRule>
    <cfRule type="cellIs" dxfId="79" priority="8" operator="equal">
      <formula>"BM MENOR DO QUE O PREVISO - MARGEM TOLERÁVEL - LIBERAR PAGAMENTO COM JUSTIFICATIVA"</formula>
    </cfRule>
    <cfRule type="cellIs" dxfId="78" priority="9" operator="equal">
      <formula>"EXECUÇÃO MUITO INFERIOR À PREVISÃO DE ACÚMULO PARA ESTE BM - SOLICITAR NOVO BM PARA LIBERAR PAGAMENTO"</formula>
    </cfRule>
  </conditionalFormatting>
  <conditionalFormatting sqref="C13">
    <cfRule type="expression" dxfId="77" priority="6">
      <formula>C13&lt;(TODAY())</formula>
    </cfRule>
  </conditionalFormatting>
  <conditionalFormatting sqref="H2">
    <cfRule type="cellIs" dxfId="76" priority="3" operator="equal">
      <formula>"BM DENTRO DO ACUMULADO PREVISTO - LIBERAR PAGAMENTO"</formula>
    </cfRule>
    <cfRule type="cellIs" dxfId="75" priority="4" operator="equal">
      <formula>"BM MENOR DO QUE O PREVISTO - MARGEM TOLERÁVEL - LIBERAR PAGAMENTO COM JUSTIFICATIVA"</formula>
    </cfRule>
    <cfRule type="cellIs" dxfId="74" priority="5" operator="equal">
      <formula>"EXECUÇÃO MUITO INFERIOR À PREVISÃO DE ACÚMULO PARA ESTE BM - SOLICITAR NOVO BM PARA LIBERAR PAGAMENTO"</formula>
    </cfRule>
  </conditionalFormatting>
  <conditionalFormatting sqref="B14:C14">
    <cfRule type="cellIs" dxfId="73" priority="2" operator="lessThanOrEqual">
      <formula>0</formula>
    </cfRule>
  </conditionalFormatting>
  <conditionalFormatting sqref="A14">
    <cfRule type="expression" dxfId="72" priority="1">
      <formula>$B$13&lt;=0</formula>
    </cfRule>
  </conditionalFormatting>
  <pageMargins left="0.51181102362204722" right="0.51181102362204722" top="1.1811023622047245" bottom="0.78740157480314965" header="0.31496062992125984" footer="0.31496062992125984"/>
  <pageSetup paperSize="9" orientation="landscape" horizontalDpi="4294967293" verticalDpi="4294967293" r:id="rId1"/>
  <headerFooter>
    <oddHeader>&amp;C&amp;G
Prefeitura Municipal de Restinga Sêca
- Acompanhamento de evolução de obra -</oddHeader>
    <oddFooter>&amp;CDocumento impresso em &amp;D</oddFooter>
  </headerFooter>
  <legacy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26"/>
  <sheetViews>
    <sheetView zoomScale="85" zoomScaleNormal="85" workbookViewId="0"/>
  </sheetViews>
  <sheetFormatPr defaultRowHeight="15"/>
  <cols>
    <col min="1" max="1" width="27" style="15" bestFit="1" customWidth="1"/>
    <col min="2" max="2" width="13.28515625" style="15" customWidth="1"/>
    <col min="3" max="3" width="15.42578125" style="15" customWidth="1"/>
    <col min="4" max="4" width="0.7109375" style="15" customWidth="1"/>
    <col min="5" max="5" width="4.140625" style="15" bestFit="1" customWidth="1"/>
    <col min="6" max="6" width="13.7109375" style="15" bestFit="1" customWidth="1"/>
    <col min="7" max="7" width="10.7109375" style="15" bestFit="1" customWidth="1"/>
    <col min="8" max="8" width="12" style="15" bestFit="1" customWidth="1"/>
    <col min="9" max="9" width="14.42578125" style="15" bestFit="1" customWidth="1"/>
    <col min="10" max="10" width="12.5703125" style="15" bestFit="1" customWidth="1"/>
    <col min="11" max="11" width="12" style="15" bestFit="1" customWidth="1"/>
    <col min="12" max="16384" width="9.140625" style="15"/>
  </cols>
  <sheetData>
    <row r="1" spans="1:12" ht="15.75" thickBot="1">
      <c r="A1" s="43" t="s">
        <v>114</v>
      </c>
      <c r="B1" s="356" t="s">
        <v>115</v>
      </c>
      <c r="C1" s="356"/>
      <c r="D1" s="45"/>
      <c r="E1" s="300" t="s">
        <v>173</v>
      </c>
      <c r="F1" s="300"/>
      <c r="G1" s="300"/>
      <c r="H1" s="300"/>
      <c r="I1" s="300"/>
      <c r="J1" s="300"/>
      <c r="K1" s="301"/>
    </row>
    <row r="2" spans="1:12" ht="31.5" customHeight="1" thickBot="1">
      <c r="A2" s="48" t="s">
        <v>66</v>
      </c>
      <c r="B2" s="35">
        <v>4</v>
      </c>
      <c r="C2" s="42">
        <f>IF(B2=1,I5,IF(B2=2,I6,IF(B2=3,I7,IF(B2=4,I8,IF(B2=5,I9,IF(B2=6,I10))))))</f>
        <v>44264</v>
      </c>
      <c r="D2" s="51"/>
      <c r="E2" s="51"/>
      <c r="F2" s="50" t="s">
        <v>68</v>
      </c>
      <c r="G2" s="44">
        <f>IF(B2=1,K5-H5,IF(B2=2,K6-H6,IF(B2=3,K7-H7,IF(B2=4,K8-H8,IF(B2=5,K9-H9,IF(B2=6,K10-H10,IF(B2=7,K11-H11,IF(B2=8,K12-H12))))))))</f>
        <v>0</v>
      </c>
      <c r="H2" s="282" t="str">
        <f>IF(G2&lt;=-0.0501,"EXECUÇÃO MUITO INFERIOR À PREVISÃO DE ACÚMULO PARA ESTE BM - SOLICITAR NOVO BM PARA LIBERAR PAGAMENTO",IF(G2&lt;0,"BM MENOR DO QUE O PREVISTO - MARGEM TOLERÁVEL - LIBERAR PAGAMENTO COM JUSTIFICATIVA",IF(G2&gt;=0,"BM DENTRO DO ACUMULADO PREVISTO - LIBERAR PAGAMENTO")))</f>
        <v>BM DENTRO DO ACUMULADO PREVISTO - LIBERAR PAGAMENTO</v>
      </c>
      <c r="I2" s="282"/>
      <c r="J2" s="282"/>
      <c r="K2" s="283"/>
    </row>
    <row r="3" spans="1:12" ht="15.75" thickBot="1">
      <c r="A3" s="37" t="s">
        <v>210</v>
      </c>
      <c r="B3" s="192" t="s">
        <v>171</v>
      </c>
      <c r="C3" s="193">
        <v>44468</v>
      </c>
      <c r="D3" s="38"/>
      <c r="E3" s="285" t="s">
        <v>64</v>
      </c>
      <c r="F3" s="286"/>
      <c r="G3" s="286"/>
      <c r="H3" s="286"/>
      <c r="I3" s="287" t="s">
        <v>65</v>
      </c>
      <c r="J3" s="287"/>
      <c r="K3" s="288"/>
    </row>
    <row r="4" spans="1:12" ht="15.75" thickBot="1">
      <c r="A4" s="39" t="s">
        <v>211</v>
      </c>
      <c r="B4" s="212"/>
      <c r="C4" s="212"/>
      <c r="D4" s="38"/>
      <c r="E4" s="52" t="s">
        <v>58</v>
      </c>
      <c r="F4" s="53" t="s">
        <v>61</v>
      </c>
      <c r="G4" s="54" t="s">
        <v>59</v>
      </c>
      <c r="H4" s="54" t="s">
        <v>63</v>
      </c>
      <c r="I4" s="55" t="s">
        <v>60</v>
      </c>
      <c r="J4" s="55" t="s">
        <v>62</v>
      </c>
      <c r="K4" s="56" t="s">
        <v>63</v>
      </c>
    </row>
    <row r="5" spans="1:12" ht="15.75" thickBot="1">
      <c r="A5" s="72" t="s">
        <v>86</v>
      </c>
      <c r="B5" s="291" t="s">
        <v>172</v>
      </c>
      <c r="C5" s="291"/>
      <c r="D5" s="38"/>
      <c r="E5" s="57">
        <v>1</v>
      </c>
      <c r="F5" s="58">
        <f>B10+30</f>
        <v>44154</v>
      </c>
      <c r="G5" s="59">
        <v>0.13739999999999999</v>
      </c>
      <c r="H5" s="59">
        <f>G5</f>
        <v>0.13739999999999999</v>
      </c>
      <c r="I5" s="60">
        <v>44132</v>
      </c>
      <c r="J5" s="61">
        <v>0.13689999999999999</v>
      </c>
      <c r="K5" s="63">
        <f>J5</f>
        <v>0.13689999999999999</v>
      </c>
    </row>
    <row r="6" spans="1:12" ht="15.75" thickBot="1">
      <c r="A6" s="71" t="s">
        <v>221</v>
      </c>
      <c r="B6" s="233">
        <v>193050.3</v>
      </c>
      <c r="C6" s="233">
        <v>26669.5</v>
      </c>
      <c r="D6" s="38"/>
      <c r="E6" s="57">
        <v>2</v>
      </c>
      <c r="F6" s="58">
        <f>F5+30</f>
        <v>44184</v>
      </c>
      <c r="G6" s="59">
        <v>0.39929999999999999</v>
      </c>
      <c r="H6" s="59">
        <f>H5+G6</f>
        <v>0.53669999999999995</v>
      </c>
      <c r="I6" s="60">
        <v>44172</v>
      </c>
      <c r="J6" s="61">
        <v>0.46029999999999999</v>
      </c>
      <c r="K6" s="63">
        <f>K5+J6</f>
        <v>0.59719999999999995</v>
      </c>
    </row>
    <row r="7" spans="1:12" ht="15.75" customHeight="1" thickBot="1">
      <c r="A7" s="37" t="s">
        <v>57</v>
      </c>
      <c r="B7" s="353" t="s">
        <v>212</v>
      </c>
      <c r="C7" s="353"/>
      <c r="D7" s="38"/>
      <c r="E7" s="57">
        <v>3</v>
      </c>
      <c r="F7" s="58">
        <f t="shared" ref="F7" si="0">F6+30</f>
        <v>44214</v>
      </c>
      <c r="G7" s="59">
        <v>0.46329999999999999</v>
      </c>
      <c r="H7" s="59">
        <f>H6+G7</f>
        <v>1</v>
      </c>
      <c r="I7" s="60">
        <v>44181</v>
      </c>
      <c r="J7" s="61">
        <v>0.39850000000000002</v>
      </c>
      <c r="K7" s="63">
        <f>K6+J7</f>
        <v>0.99570000000000003</v>
      </c>
    </row>
    <row r="8" spans="1:12" ht="15.75" customHeight="1" thickBot="1">
      <c r="A8" s="209" t="s">
        <v>95</v>
      </c>
      <c r="B8" s="303">
        <v>90</v>
      </c>
      <c r="C8" s="303"/>
      <c r="D8" s="38"/>
      <c r="E8" s="57">
        <v>4</v>
      </c>
      <c r="F8" s="58">
        <v>44214</v>
      </c>
      <c r="G8" s="59">
        <f>H7-K7</f>
        <v>4.2999999999999705E-3</v>
      </c>
      <c r="H8" s="59">
        <f>K7+G8</f>
        <v>1</v>
      </c>
      <c r="I8" s="99">
        <v>44264</v>
      </c>
      <c r="J8" s="59">
        <v>4.3E-3</v>
      </c>
      <c r="K8" s="63">
        <f>J8+K7</f>
        <v>1</v>
      </c>
    </row>
    <row r="9" spans="1:12" ht="15.75" thickBot="1">
      <c r="A9" s="76" t="s">
        <v>96</v>
      </c>
      <c r="B9" s="284">
        <v>60</v>
      </c>
      <c r="C9" s="284"/>
      <c r="D9" s="38"/>
      <c r="E9" s="57"/>
      <c r="F9" s="58"/>
      <c r="G9" s="59"/>
      <c r="H9" s="59"/>
      <c r="I9" s="99"/>
      <c r="J9" s="59"/>
      <c r="K9" s="100"/>
    </row>
    <row r="10" spans="1:12" ht="15.75" thickBot="1">
      <c r="A10" s="39" t="s">
        <v>36</v>
      </c>
      <c r="B10" s="271">
        <v>44124</v>
      </c>
      <c r="C10" s="271"/>
      <c r="D10" s="40"/>
      <c r="E10" s="57"/>
      <c r="F10" s="58"/>
      <c r="G10" s="59"/>
      <c r="H10" s="59"/>
      <c r="I10" s="87"/>
      <c r="J10" s="59"/>
      <c r="K10" s="100"/>
    </row>
    <row r="11" spans="1:12" ht="15.75" thickBot="1">
      <c r="A11" s="37" t="s">
        <v>69</v>
      </c>
      <c r="B11" s="272">
        <f>B10+B8+B9</f>
        <v>44274</v>
      </c>
      <c r="C11" s="272"/>
      <c r="D11" s="38"/>
      <c r="E11" s="89"/>
      <c r="F11" s="90"/>
      <c r="G11" s="91"/>
      <c r="H11" s="91"/>
      <c r="I11" s="89"/>
      <c r="J11" s="90"/>
      <c r="K11" s="96"/>
      <c r="L11" s="49"/>
    </row>
    <row r="12" spans="1:12" ht="15.75" thickBot="1">
      <c r="A12" s="39" t="s">
        <v>25</v>
      </c>
      <c r="B12" s="273">
        <f>IF(B2=1,K5,IF(B2=2,K6,IF(B2=3,K7,IF(B2=4,K8,IF(B2=5,K9,IF(B2=6,K10,IF(B2=7,K11,IF(B2=8,K12))))))))</f>
        <v>1</v>
      </c>
      <c r="C12" s="273"/>
      <c r="D12" s="38"/>
      <c r="E12" s="92"/>
      <c r="F12" s="90"/>
      <c r="G12" s="91"/>
      <c r="H12" s="91"/>
      <c r="I12" s="92"/>
      <c r="J12" s="90"/>
      <c r="K12" s="96"/>
      <c r="L12" s="49"/>
    </row>
    <row r="13" spans="1:12">
      <c r="A13" s="37" t="s">
        <v>67</v>
      </c>
      <c r="B13" s="46">
        <f>IF(B$2=1,2,IF(B$2=2,3,IF(B$2=3,4,IF(B$2=4,5,IF(B$2=5,6,IF(B$2=6,7,IF(B$2=7,8)))))))</f>
        <v>5</v>
      </c>
      <c r="C13" s="47">
        <f>IF(B$2=1,F$6,IF(B$2=2,F$7,IF(B$2=3,F$8,IF(B$2=4,F$9,IF(B$2=5,F$10,IF(B$2=6,F$11,IF(B$2=7,F$12)))))))</f>
        <v>0</v>
      </c>
      <c r="D13" s="38"/>
      <c r="E13" s="93"/>
      <c r="F13" s="93"/>
      <c r="G13" s="93"/>
      <c r="H13" s="93"/>
      <c r="I13" s="93"/>
      <c r="J13" s="93"/>
      <c r="K13" s="94"/>
    </row>
    <row r="14" spans="1:12" ht="30">
      <c r="A14" s="65" t="s">
        <v>84</v>
      </c>
      <c r="B14" s="274">
        <f>IF($B$2=1,H$6-K$5,IF($B$2=2,H$7-K$6,IF($B$2=3,H$8-K$7,IF($B$2=4,H$9-K$8,IF($B$2=5,H$10-K$9,IF($B$2=6,H$11-K$10,IF($B$2=7,H$12-K$11)))))))</f>
        <v>-1</v>
      </c>
      <c r="C14" s="274"/>
      <c r="D14" s="41"/>
      <c r="E14" s="305" t="str">
        <f ca="1">IF(TODAY()&gt;C13,"OBRA ATRASADA","")</f>
        <v>OBRA ATRASADA</v>
      </c>
      <c r="F14" s="305"/>
      <c r="G14" s="105" t="str">
        <f ca="1">IF(TODAY()&gt;C13,"EM","")</f>
        <v>EM</v>
      </c>
      <c r="H14" s="105">
        <f ca="1">IF(TODAY()&gt;C13,TODAY()-C13,"")</f>
        <v>44477</v>
      </c>
      <c r="I14" s="327" t="str">
        <f t="shared" ref="I14" ca="1" si="1">IF(TODAY()&gt;C13,"DIAS EM RELAÇÃO AO CRONOGRAMA","")</f>
        <v>DIAS EM RELAÇÃO AO CRONOGRAMA</v>
      </c>
      <c r="J14" s="327"/>
      <c r="K14" s="328"/>
    </row>
    <row r="16" spans="1:12" ht="15" customHeight="1">
      <c r="A16" s="363" t="s">
        <v>170</v>
      </c>
      <c r="B16" s="363"/>
      <c r="C16" s="363"/>
    </row>
    <row r="17" spans="1:11">
      <c r="A17" s="363"/>
      <c r="B17" s="363"/>
      <c r="C17" s="363"/>
    </row>
    <row r="18" spans="1:11">
      <c r="A18" s="363"/>
      <c r="B18" s="363"/>
      <c r="C18" s="363"/>
    </row>
    <row r="19" spans="1:11">
      <c r="A19" s="363"/>
      <c r="B19" s="363"/>
      <c r="C19" s="363"/>
    </row>
    <row r="20" spans="1:11">
      <c r="A20" s="363"/>
      <c r="B20" s="363"/>
      <c r="C20" s="363"/>
    </row>
    <row r="21" spans="1:11">
      <c r="A21" s="363"/>
      <c r="B21" s="363"/>
      <c r="C21" s="363"/>
    </row>
    <row r="22" spans="1:11">
      <c r="A22" s="74"/>
      <c r="B22" s="74"/>
      <c r="C22" s="74"/>
    </row>
    <row r="23" spans="1:11">
      <c r="A23" s="281" t="s">
        <v>139</v>
      </c>
      <c r="B23" s="281"/>
      <c r="C23" s="281"/>
      <c r="D23" s="281"/>
      <c r="E23" s="281"/>
      <c r="F23" s="281"/>
      <c r="G23" s="281"/>
    </row>
    <row r="24" spans="1:11">
      <c r="A24" s="75">
        <v>44134</v>
      </c>
      <c r="B24" s="247" t="s">
        <v>174</v>
      </c>
      <c r="C24" s="278"/>
      <c r="D24" s="278"/>
      <c r="E24" s="278"/>
      <c r="F24" s="278"/>
      <c r="G24" s="279"/>
    </row>
    <row r="26" spans="1:11">
      <c r="A26" s="281" t="s">
        <v>168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</sheetData>
  <mergeCells count="19">
    <mergeCell ref="B10:C10"/>
    <mergeCell ref="B11:C11"/>
    <mergeCell ref="B12:C12"/>
    <mergeCell ref="B9:C9"/>
    <mergeCell ref="B1:C1"/>
    <mergeCell ref="B7:C7"/>
    <mergeCell ref="B8:C8"/>
    <mergeCell ref="E1:K1"/>
    <mergeCell ref="H2:K2"/>
    <mergeCell ref="E3:H3"/>
    <mergeCell ref="I3:K3"/>
    <mergeCell ref="B5:C5"/>
    <mergeCell ref="A16:C21"/>
    <mergeCell ref="A23:G23"/>
    <mergeCell ref="A26:K26"/>
    <mergeCell ref="B14:C14"/>
    <mergeCell ref="E14:F14"/>
    <mergeCell ref="I14:K14"/>
    <mergeCell ref="B24:G24"/>
  </mergeCells>
  <conditionalFormatting sqref="G2">
    <cfRule type="cellIs" dxfId="71" priority="17" operator="greaterThanOrEqual">
      <formula>0</formula>
    </cfRule>
    <cfRule type="cellIs" dxfId="70" priority="18" operator="lessThan">
      <formula>0</formula>
    </cfRule>
  </conditionalFormatting>
  <conditionalFormatting sqref="E14">
    <cfRule type="containsText" dxfId="69" priority="16" operator="containsText" text="OBRA ATRASADA">
      <formula>NOT(ISERROR(SEARCH("OBRA ATRASADA",E14)))</formula>
    </cfRule>
  </conditionalFormatting>
  <conditionalFormatting sqref="H2">
    <cfRule type="cellIs" dxfId="68" priority="13" operator="equal">
      <formula>"BM DENTRO DO ACUMULADO PREVISTO - PODE SER PAGO"</formula>
    </cfRule>
    <cfRule type="cellIs" dxfId="67" priority="14" operator="equal">
      <formula>"BM MENOR DO QUE O PREVISO - MARGEM TOLERÁVEL - LIBERAR PAGAMENTO COM JUSTIFICATIVA"</formula>
    </cfRule>
    <cfRule type="cellIs" dxfId="66" priority="15" operator="equal">
      <formula>"EXECUÇÃO MUITO INFERIOR À PREVISÃO DE ACÚMULO PARA ESTE BM - AGUARDANDO NOVO BM PARA LIBERAR PAGAMENTO"</formula>
    </cfRule>
  </conditionalFormatting>
  <conditionalFormatting sqref="H2">
    <cfRule type="cellIs" dxfId="65" priority="10" operator="equal">
      <formula>"PAGAMENTO DO BM LIBERADO"</formula>
    </cfRule>
    <cfRule type="cellIs" dxfId="64" priority="11" operator="equal">
      <formula>"BM MENOR DO QUE O PREVISO - MARGEM TOLERÁVEL - LIBERAR PAGAMENTO COM JUSTIFICATIVA"</formula>
    </cfRule>
    <cfRule type="cellIs" dxfId="63" priority="12" operator="equal">
      <formula>"EXECUÇÃO MUITO INFERIOR À PREVISTA PARA ESTE BM - AGUARDANDO NOVO BM PARA LIBERAR PAGAMENTO"</formula>
    </cfRule>
  </conditionalFormatting>
  <conditionalFormatting sqref="H2">
    <cfRule type="cellIs" dxfId="62" priority="7" operator="equal">
      <formula>"BM DENTRO DO ACUMULADO PREVISTO - PODE SER PAGO"</formula>
    </cfRule>
    <cfRule type="cellIs" dxfId="61" priority="8" operator="equal">
      <formula>"BM MENOR DO QUE O PREVISO - MARGEM TOLERÁVEL - LIBERAR PAGAMENTO COM JUSTIFICATIVA"</formula>
    </cfRule>
    <cfRule type="cellIs" dxfId="60" priority="9" operator="equal">
      <formula>"EXECUÇÃO MUITO INFERIOR À PREVISÃO DE ACÚMULO PARA ESTE BM - SOLICITAR NOVO BM PARA LIBERAR PAGAMENTO"</formula>
    </cfRule>
  </conditionalFormatting>
  <conditionalFormatting sqref="C13">
    <cfRule type="expression" dxfId="59" priority="6">
      <formula>C13&lt;(TODAY())</formula>
    </cfRule>
  </conditionalFormatting>
  <conditionalFormatting sqref="H2">
    <cfRule type="cellIs" dxfId="58" priority="3" operator="equal">
      <formula>"BM DENTRO DO ACUMULADO PREVISTO - LIBERAR PAGAMENTO"</formula>
    </cfRule>
    <cfRule type="cellIs" dxfId="57" priority="4" operator="equal">
      <formula>"BM MENOR DO QUE O PREVISTO - MARGEM TOLERÁVEL - LIBERAR PAGAMENTO COM JUSTIFICATIVA"</formula>
    </cfRule>
    <cfRule type="cellIs" dxfId="56" priority="5" operator="equal">
      <formula>"EXECUÇÃO MUITO INFERIOR À PREVISÃO DE ACÚMULO PARA ESTE BM - SOLICITAR NOVO BM PARA LIBERAR PAGAMENTO"</formula>
    </cfRule>
  </conditionalFormatting>
  <conditionalFormatting sqref="B14:C14">
    <cfRule type="cellIs" dxfId="55" priority="2" operator="lessThanOrEqual">
      <formula>0</formula>
    </cfRule>
  </conditionalFormatting>
  <conditionalFormatting sqref="A14">
    <cfRule type="expression" dxfId="54" priority="1">
      <formula>$B$13&lt;=0</formula>
    </cfRule>
  </conditionalFormatting>
  <pageMargins left="0.51181102362204722" right="0.51181102362204722" top="1.1811023622047245" bottom="0.78740157480314965" header="0.31496062992125984" footer="0.31496062992125984"/>
  <pageSetup paperSize="9" orientation="landscape" horizontalDpi="4294967293" verticalDpi="4294967293" r:id="rId1"/>
  <headerFooter>
    <oddHeader>&amp;C&amp;G
Prefeitura Municipal de Restinga Sêca
- Acompanhamento de evolução de obra -</oddHeader>
    <oddFooter>&amp;CDocumento impresso em &amp;D</oddFooter>
  </headerFooter>
  <legacy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24"/>
  <sheetViews>
    <sheetView zoomScale="85" zoomScaleNormal="85" workbookViewId="0"/>
  </sheetViews>
  <sheetFormatPr defaultRowHeight="15"/>
  <cols>
    <col min="1" max="1" width="27" style="15" bestFit="1" customWidth="1"/>
    <col min="2" max="2" width="13.28515625" style="15" customWidth="1"/>
    <col min="3" max="3" width="15.42578125" style="15" customWidth="1"/>
    <col min="4" max="4" width="0.7109375" style="15" customWidth="1"/>
    <col min="5" max="5" width="4.140625" style="15" bestFit="1" customWidth="1"/>
    <col min="6" max="6" width="13.7109375" style="15" bestFit="1" customWidth="1"/>
    <col min="7" max="7" width="10.7109375" style="15" bestFit="1" customWidth="1"/>
    <col min="8" max="8" width="12" style="15" bestFit="1" customWidth="1"/>
    <col min="9" max="9" width="14.42578125" style="15" bestFit="1" customWidth="1"/>
    <col min="10" max="10" width="12.5703125" style="15" bestFit="1" customWidth="1"/>
    <col min="11" max="11" width="12" style="15" bestFit="1" customWidth="1"/>
    <col min="12" max="16384" width="9.140625" style="15"/>
  </cols>
  <sheetData>
    <row r="1" spans="1:11" ht="15.75" thickBot="1">
      <c r="A1" s="43" t="s">
        <v>114</v>
      </c>
      <c r="B1" s="356" t="s">
        <v>115</v>
      </c>
      <c r="C1" s="356"/>
      <c r="D1" s="45"/>
      <c r="E1" s="300" t="s">
        <v>217</v>
      </c>
      <c r="F1" s="300"/>
      <c r="G1" s="300"/>
      <c r="H1" s="300"/>
      <c r="I1" s="300"/>
      <c r="J1" s="300"/>
      <c r="K1" s="301"/>
    </row>
    <row r="2" spans="1:11" ht="31.5" customHeight="1" thickBot="1">
      <c r="A2" s="48" t="s">
        <v>66</v>
      </c>
      <c r="B2" s="35">
        <v>1</v>
      </c>
      <c r="C2" s="42">
        <f>IF(B2=1,I5,IF(B2=2,I6,IF(B2=3,I7,IF(B2=4,I8,IF(B2=5,I9,IF(B2=6,I10))))))</f>
        <v>44419</v>
      </c>
      <c r="D2" s="51"/>
      <c r="E2" s="51"/>
      <c r="F2" s="50" t="s">
        <v>68</v>
      </c>
      <c r="G2" s="44">
        <f>IF(B2=1,K5-H5,IF(B2=2,K6-H6,IF(B2=3,K7-H7,IF(B2=4,K8-H8,IF(B2=5,K9-H9,IF(B2=6,K10-H10,IF(B2=7,K11-H11,IF(B2=8,K12-H12))))))))</f>
        <v>-1.9000000000000128E-3</v>
      </c>
      <c r="H2" s="282" t="str">
        <f>IF(G2&lt;=-0.0501,"EXECUÇÃO MUITO INFERIOR À PREVISÃO DE ACÚMULO PARA ESTE BM - SOLICITAR NOVO BM PARA LIBERAR PAGAMENTO",IF(G2&lt;0,"BM MENOR DO QUE O PREVISTO - MARGEM TOLERÁVEL - LIBERAR PAGAMENTO COM JUSTIFICATIVA",IF(G2&gt;=0,"BM DENTRO DO ACUMULADO PREVISTO - LIBERAR PAGAMENTO")))</f>
        <v>BM MENOR DO QUE O PREVISTO - MARGEM TOLERÁVEL - LIBERAR PAGAMENTO COM JUSTIFICATIVA</v>
      </c>
      <c r="I2" s="282"/>
      <c r="J2" s="282"/>
      <c r="K2" s="283"/>
    </row>
    <row r="3" spans="1:11" ht="15.75" thickBot="1">
      <c r="A3" s="37" t="s">
        <v>210</v>
      </c>
      <c r="B3" s="192" t="s">
        <v>214</v>
      </c>
      <c r="C3" s="193">
        <v>44734</v>
      </c>
      <c r="D3" s="38"/>
      <c r="E3" s="285" t="s">
        <v>64</v>
      </c>
      <c r="F3" s="286"/>
      <c r="G3" s="286"/>
      <c r="H3" s="286"/>
      <c r="I3" s="287" t="s">
        <v>65</v>
      </c>
      <c r="J3" s="287"/>
      <c r="K3" s="288"/>
    </row>
    <row r="4" spans="1:11" ht="15.75" thickBot="1">
      <c r="A4" s="39" t="s">
        <v>211</v>
      </c>
      <c r="B4" s="194" t="s">
        <v>203</v>
      </c>
      <c r="C4" s="227">
        <v>44734</v>
      </c>
      <c r="D4" s="38"/>
      <c r="E4" s="52" t="s">
        <v>58</v>
      </c>
      <c r="F4" s="53" t="s">
        <v>61</v>
      </c>
      <c r="G4" s="54" t="s">
        <v>59</v>
      </c>
      <c r="H4" s="54" t="s">
        <v>63</v>
      </c>
      <c r="I4" s="55" t="s">
        <v>60</v>
      </c>
      <c r="J4" s="55" t="s">
        <v>62</v>
      </c>
      <c r="K4" s="56" t="s">
        <v>63</v>
      </c>
    </row>
    <row r="5" spans="1:11" ht="15.75" thickBot="1">
      <c r="A5" s="72" t="s">
        <v>86</v>
      </c>
      <c r="B5" s="291" t="s">
        <v>215</v>
      </c>
      <c r="C5" s="291"/>
      <c r="D5" s="38"/>
      <c r="E5" s="57">
        <v>1</v>
      </c>
      <c r="F5" s="58">
        <f>B10+30</f>
        <v>44423</v>
      </c>
      <c r="G5" s="59">
        <v>0.35520000000000002</v>
      </c>
      <c r="H5" s="59">
        <f>G5</f>
        <v>0.35520000000000002</v>
      </c>
      <c r="I5" s="60">
        <v>44419</v>
      </c>
      <c r="J5" s="61">
        <v>0.3533</v>
      </c>
      <c r="K5" s="63">
        <f>J5</f>
        <v>0.3533</v>
      </c>
    </row>
    <row r="6" spans="1:11" ht="15.75" thickBot="1">
      <c r="A6" s="71" t="s">
        <v>221</v>
      </c>
      <c r="B6" s="233">
        <v>539401.16</v>
      </c>
      <c r="C6" s="233">
        <f>20200.5</f>
        <v>20200.5</v>
      </c>
      <c r="D6" s="38"/>
      <c r="E6" s="57">
        <v>2</v>
      </c>
      <c r="F6" s="58">
        <f>F5+30</f>
        <v>44453</v>
      </c>
      <c r="G6" s="59">
        <v>0.3322</v>
      </c>
      <c r="H6" s="59">
        <f>H5+G6</f>
        <v>0.68740000000000001</v>
      </c>
      <c r="I6" s="60"/>
      <c r="J6" s="61"/>
      <c r="K6" s="63">
        <f>K5+J6</f>
        <v>0.3533</v>
      </c>
    </row>
    <row r="7" spans="1:11" ht="15.75" customHeight="1" thickBot="1">
      <c r="A7" s="37" t="s">
        <v>57</v>
      </c>
      <c r="B7" s="353" t="s">
        <v>101</v>
      </c>
      <c r="C7" s="353"/>
      <c r="D7" s="38"/>
      <c r="E7" s="57">
        <v>3</v>
      </c>
      <c r="F7" s="58">
        <f t="shared" ref="F7:F8" si="0">F6+30</f>
        <v>44483</v>
      </c>
      <c r="G7" s="59">
        <v>0.26619999999999999</v>
      </c>
      <c r="H7" s="59">
        <f>H6+G7</f>
        <v>0.9536</v>
      </c>
      <c r="I7" s="60"/>
      <c r="J7" s="61"/>
      <c r="K7" s="63">
        <f>K6+J7</f>
        <v>0.3533</v>
      </c>
    </row>
    <row r="8" spans="1:11" ht="15.75" customHeight="1" thickBot="1">
      <c r="A8" s="209" t="s">
        <v>95</v>
      </c>
      <c r="B8" s="303">
        <v>120</v>
      </c>
      <c r="C8" s="303"/>
      <c r="D8" s="38"/>
      <c r="E8" s="57">
        <v>4</v>
      </c>
      <c r="F8" s="58">
        <f t="shared" si="0"/>
        <v>44513</v>
      </c>
      <c r="G8" s="59">
        <v>4.6399999999999997E-2</v>
      </c>
      <c r="H8" s="59">
        <f t="shared" ref="H8" si="1">H7+G8</f>
        <v>1</v>
      </c>
      <c r="I8" s="60"/>
      <c r="J8" s="61"/>
      <c r="K8" s="63">
        <f>K7+J8</f>
        <v>0.3533</v>
      </c>
    </row>
    <row r="9" spans="1:11" ht="15.75" thickBot="1">
      <c r="A9" s="76" t="s">
        <v>96</v>
      </c>
      <c r="B9" s="284"/>
      <c r="C9" s="284"/>
      <c r="D9" s="38"/>
      <c r="E9" s="57"/>
      <c r="F9" s="58"/>
      <c r="G9" s="59"/>
      <c r="H9" s="59"/>
      <c r="I9" s="92"/>
      <c r="J9" s="92"/>
      <c r="K9" s="220"/>
    </row>
    <row r="10" spans="1:11" ht="15.75" thickBot="1">
      <c r="A10" s="39" t="s">
        <v>36</v>
      </c>
      <c r="B10" s="271">
        <v>44393</v>
      </c>
      <c r="C10" s="271"/>
      <c r="D10" s="40"/>
      <c r="E10" s="57"/>
      <c r="F10" s="58"/>
      <c r="G10" s="59"/>
      <c r="H10" s="59"/>
      <c r="I10" s="92"/>
      <c r="J10" s="92"/>
      <c r="K10" s="221"/>
    </row>
    <row r="11" spans="1:11" ht="15.75" thickBot="1">
      <c r="A11" s="37" t="s">
        <v>69</v>
      </c>
      <c r="B11" s="272">
        <f>B10+B8+B9</f>
        <v>44513</v>
      </c>
      <c r="C11" s="272"/>
      <c r="D11" s="38"/>
      <c r="E11" s="89"/>
      <c r="F11" s="90"/>
      <c r="G11" s="91"/>
      <c r="H11" s="91"/>
      <c r="I11" s="89"/>
      <c r="J11" s="90"/>
      <c r="K11" s="96"/>
    </row>
    <row r="12" spans="1:11" ht="15.75" thickBot="1">
      <c r="A12" s="39" t="s">
        <v>25</v>
      </c>
      <c r="B12" s="273">
        <f>IF(B2=1,K5,IF(B2=2,K6,IF(B2=3,K7,IF(B2=4,K8,IF(B2=5,K9,IF(B2=6,K10,IF(B2=7,K11,IF(B2=8,K12))))))))</f>
        <v>0.3533</v>
      </c>
      <c r="C12" s="273"/>
      <c r="D12" s="38"/>
      <c r="E12" s="92"/>
      <c r="F12" s="90"/>
      <c r="G12" s="91"/>
      <c r="H12" s="91"/>
      <c r="I12" s="92"/>
      <c r="J12" s="90"/>
      <c r="K12" s="96"/>
    </row>
    <row r="13" spans="1:11">
      <c r="A13" s="37" t="s">
        <v>67</v>
      </c>
      <c r="B13" s="46">
        <f>IF(B$2=1,2,IF(B$2=2,3,IF(B$2=3,4,IF(B$2=4,5,IF(B$2=5,6,IF(B$2=6,7,IF(B$2=7,8)))))))</f>
        <v>2</v>
      </c>
      <c r="C13" s="219">
        <f>IF(B$2=1,F$6,IF(B$2=2,F$7,IF(B$2=3,F$8,IF(B$2=4,F$9,IF(B$2=5,F$10,IF(B$2=6,F$11,IF(B$2=7,F$12)))))))</f>
        <v>44453</v>
      </c>
      <c r="D13" s="38"/>
      <c r="E13" s="93"/>
      <c r="F13" s="93"/>
      <c r="G13" s="93"/>
      <c r="H13" s="93"/>
      <c r="I13" s="93"/>
      <c r="J13" s="93"/>
      <c r="K13" s="94"/>
    </row>
    <row r="14" spans="1:11" ht="30">
      <c r="A14" s="65" t="s">
        <v>84</v>
      </c>
      <c r="B14" s="274">
        <f>IF($B$2=1,H$6-K$5,IF($B$2=2,H$7-K$6,IF($B$2=3,H$8-K$7,IF($B$2=4,H$9-K$8,IF($B$2=5,H$10-K$9,IF($B$2=6,H$11-K$10,IF($B$2=7,H$12-K$11)))))))</f>
        <v>0.33410000000000001</v>
      </c>
      <c r="C14" s="274"/>
      <c r="D14" s="41"/>
      <c r="E14" s="305" t="str">
        <f ca="1">IF(TODAY()&gt;C13,"OBRA ATRASADA","")</f>
        <v>OBRA ATRASADA</v>
      </c>
      <c r="F14" s="305"/>
      <c r="G14" s="218" t="str">
        <f ca="1">IF(TODAY()&gt;C13,"EM","")</f>
        <v>EM</v>
      </c>
      <c r="H14" s="218">
        <f ca="1">IF(TODAY()&gt;C13,TODAY()-C13,"")</f>
        <v>24</v>
      </c>
      <c r="I14" s="327" t="str">
        <f t="shared" ref="I14" ca="1" si="2">IF(TODAY()&gt;C13,"DIAS EM RELAÇÃO AO CRONOGRAMA","")</f>
        <v>DIAS EM RELAÇÃO AO CRONOGRAMA</v>
      </c>
      <c r="J14" s="327"/>
      <c r="K14" s="328"/>
    </row>
    <row r="16" spans="1:11" ht="15" customHeight="1">
      <c r="A16" s="280" t="s">
        <v>216</v>
      </c>
      <c r="B16" s="280"/>
      <c r="C16" s="280"/>
    </row>
    <row r="17" spans="1:11">
      <c r="A17" s="280"/>
      <c r="B17" s="280"/>
      <c r="C17" s="280"/>
      <c r="I17" s="217"/>
      <c r="J17" s="217"/>
    </row>
    <row r="18" spans="1:11">
      <c r="A18" s="280"/>
      <c r="B18" s="280"/>
      <c r="C18" s="280"/>
    </row>
    <row r="19" spans="1:11">
      <c r="A19" s="280"/>
      <c r="B19" s="280"/>
      <c r="C19" s="280"/>
    </row>
    <row r="20" spans="1:11">
      <c r="A20" s="280"/>
      <c r="B20" s="280"/>
      <c r="C20" s="280"/>
    </row>
    <row r="21" spans="1:11">
      <c r="A21" s="280"/>
      <c r="B21" s="280"/>
      <c r="C21" s="280"/>
    </row>
    <row r="22" spans="1:11">
      <c r="A22" s="74"/>
      <c r="B22" s="74"/>
      <c r="C22" s="74"/>
    </row>
    <row r="24" spans="1:11">
      <c r="A24" s="281" t="s">
        <v>168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1"/>
    </row>
  </sheetData>
  <mergeCells count="17">
    <mergeCell ref="B11:C11"/>
    <mergeCell ref="B1:C1"/>
    <mergeCell ref="E1:K1"/>
    <mergeCell ref="H2:K2"/>
    <mergeCell ref="E3:H3"/>
    <mergeCell ref="I3:K3"/>
    <mergeCell ref="B5:C5"/>
    <mergeCell ref="B7:C7"/>
    <mergeCell ref="B8:C8"/>
    <mergeCell ref="B9:C9"/>
    <mergeCell ref="B10:C10"/>
    <mergeCell ref="A24:K24"/>
    <mergeCell ref="B12:C12"/>
    <mergeCell ref="B14:C14"/>
    <mergeCell ref="E14:F14"/>
    <mergeCell ref="I14:K14"/>
    <mergeCell ref="A16:C21"/>
  </mergeCells>
  <conditionalFormatting sqref="G2">
    <cfRule type="cellIs" dxfId="53" priority="17" operator="greaterThanOrEqual">
      <formula>0</formula>
    </cfRule>
    <cfRule type="cellIs" dxfId="52" priority="18" operator="lessThan">
      <formula>0</formula>
    </cfRule>
  </conditionalFormatting>
  <conditionalFormatting sqref="E14">
    <cfRule type="containsText" dxfId="51" priority="16" operator="containsText" text="OBRA ATRASADA">
      <formula>NOT(ISERROR(SEARCH("OBRA ATRASADA",E14)))</formula>
    </cfRule>
  </conditionalFormatting>
  <conditionalFormatting sqref="H2">
    <cfRule type="cellIs" dxfId="50" priority="13" operator="equal">
      <formula>"BM DENTRO DO ACUMULADO PREVISTO - PODE SER PAGO"</formula>
    </cfRule>
    <cfRule type="cellIs" dxfId="49" priority="14" operator="equal">
      <formula>"BM MENOR DO QUE O PREVISO - MARGEM TOLERÁVEL - LIBERAR PAGAMENTO COM JUSTIFICATIVA"</formula>
    </cfRule>
    <cfRule type="cellIs" dxfId="48" priority="15" operator="equal">
      <formula>"EXECUÇÃO MUITO INFERIOR À PREVISÃO DE ACÚMULO PARA ESTE BM - AGUARDANDO NOVO BM PARA LIBERAR PAGAMENTO"</formula>
    </cfRule>
  </conditionalFormatting>
  <conditionalFormatting sqref="H2">
    <cfRule type="cellIs" dxfId="47" priority="10" operator="equal">
      <formula>"PAGAMENTO DO BM LIBERADO"</formula>
    </cfRule>
    <cfRule type="cellIs" dxfId="46" priority="11" operator="equal">
      <formula>"BM MENOR DO QUE O PREVISO - MARGEM TOLERÁVEL - LIBERAR PAGAMENTO COM JUSTIFICATIVA"</formula>
    </cfRule>
    <cfRule type="cellIs" dxfId="45" priority="12" operator="equal">
      <formula>"EXECUÇÃO MUITO INFERIOR À PREVISTA PARA ESTE BM - AGUARDANDO NOVO BM PARA LIBERAR PAGAMENTO"</formula>
    </cfRule>
  </conditionalFormatting>
  <conditionalFormatting sqref="H2">
    <cfRule type="cellIs" dxfId="44" priority="7" operator="equal">
      <formula>"BM DENTRO DO ACUMULADO PREVISTO - PODE SER PAGO"</formula>
    </cfRule>
    <cfRule type="cellIs" dxfId="43" priority="8" operator="equal">
      <formula>"BM MENOR DO QUE O PREVISO - MARGEM TOLERÁVEL - LIBERAR PAGAMENTO COM JUSTIFICATIVA"</formula>
    </cfRule>
    <cfRule type="cellIs" dxfId="42" priority="9" operator="equal">
      <formula>"EXECUÇÃO MUITO INFERIOR À PREVISÃO DE ACÚMULO PARA ESTE BM - SOLICITAR NOVO BM PARA LIBERAR PAGAMENTO"</formula>
    </cfRule>
  </conditionalFormatting>
  <conditionalFormatting sqref="C13">
    <cfRule type="expression" dxfId="41" priority="6">
      <formula>C13&lt;(TODAY())</formula>
    </cfRule>
  </conditionalFormatting>
  <conditionalFormatting sqref="H2">
    <cfRule type="cellIs" dxfId="40" priority="3" operator="equal">
      <formula>"BM DENTRO DO ACUMULADO PREVISTO - LIBERAR PAGAMENTO"</formula>
    </cfRule>
    <cfRule type="cellIs" dxfId="39" priority="4" operator="equal">
      <formula>"BM MENOR DO QUE O PREVISTO - MARGEM TOLERÁVEL - LIBERAR PAGAMENTO COM JUSTIFICATIVA"</formula>
    </cfRule>
    <cfRule type="cellIs" dxfId="38" priority="5" operator="equal">
      <formula>"EXECUÇÃO MUITO INFERIOR À PREVISÃO DE ACÚMULO PARA ESTE BM - SOLICITAR NOVO BM PARA LIBERAR PAGAMENTO"</formula>
    </cfRule>
  </conditionalFormatting>
  <conditionalFormatting sqref="B14:C14">
    <cfRule type="cellIs" dxfId="37" priority="2" operator="lessThanOrEqual">
      <formula>0</formula>
    </cfRule>
  </conditionalFormatting>
  <conditionalFormatting sqref="A14">
    <cfRule type="expression" dxfId="36" priority="1">
      <formula>$B$13&lt;=0</formula>
    </cfRule>
  </conditionalFormatting>
  <pageMargins left="0.51181102362204722" right="0.51181102362204722" top="1.1811023622047245" bottom="0.78740157480314965" header="0.31496062992125984" footer="0.31496062992125984"/>
  <pageSetup paperSize="9" orientation="landscape" horizontalDpi="4294967293" verticalDpi="4294967293" r:id="rId1"/>
  <headerFooter>
    <oddHeader>&amp;C&amp;G
Prefeitura Municipal de Restinga Sêca
- Acompanhamento de evolução de obra -</oddHeader>
    <oddFooter>&amp;CDocumento impresso em &amp;D</oddFooter>
  </headerFooter>
  <legacy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W28"/>
  <sheetViews>
    <sheetView zoomScale="85" zoomScaleNormal="85" workbookViewId="0">
      <selection activeCell="B11" sqref="B11:C11"/>
    </sheetView>
  </sheetViews>
  <sheetFormatPr defaultRowHeight="15"/>
  <cols>
    <col min="1" max="1" width="27" style="15" bestFit="1" customWidth="1"/>
    <col min="2" max="2" width="13.28515625" style="15" customWidth="1"/>
    <col min="3" max="3" width="15.42578125" style="15" customWidth="1"/>
    <col min="4" max="4" width="0.7109375" style="15" customWidth="1"/>
    <col min="5" max="5" width="4.140625" style="15" bestFit="1" customWidth="1"/>
    <col min="6" max="6" width="13.7109375" style="15" bestFit="1" customWidth="1"/>
    <col min="7" max="7" width="10.7109375" style="15" bestFit="1" customWidth="1"/>
    <col min="8" max="8" width="12" style="15" bestFit="1" customWidth="1"/>
    <col min="9" max="9" width="14.42578125" style="15" bestFit="1" customWidth="1"/>
    <col min="10" max="10" width="12.5703125" style="15" bestFit="1" customWidth="1"/>
    <col min="11" max="11" width="12" style="15" bestFit="1" customWidth="1"/>
    <col min="12" max="12" width="4.28515625" style="15" customWidth="1"/>
    <col min="13" max="13" width="27" style="15" customWidth="1"/>
    <col min="14" max="14" width="13.28515625" style="15" customWidth="1"/>
    <col min="15" max="15" width="15.42578125" style="15" customWidth="1"/>
    <col min="16" max="16" width="0.42578125" style="15" customWidth="1"/>
    <col min="17" max="17" width="4.140625" style="15" customWidth="1"/>
    <col min="18" max="18" width="13.7109375" style="15" customWidth="1"/>
    <col min="19" max="19" width="12" style="15" customWidth="1"/>
    <col min="20" max="20" width="9.140625" style="15"/>
    <col min="21" max="21" width="14.42578125" style="15" customWidth="1"/>
    <col min="22" max="22" width="12.5703125" style="15" customWidth="1"/>
    <col min="23" max="23" width="12" style="15" customWidth="1"/>
    <col min="24" max="16384" width="9.140625" style="15"/>
  </cols>
  <sheetData>
    <row r="1" spans="1:23" ht="15.75" thickBot="1">
      <c r="A1" s="43" t="s">
        <v>114</v>
      </c>
      <c r="B1" s="356" t="s">
        <v>115</v>
      </c>
      <c r="C1" s="356"/>
      <c r="D1" s="45"/>
      <c r="E1" s="300" t="s">
        <v>219</v>
      </c>
      <c r="F1" s="300"/>
      <c r="G1" s="300"/>
      <c r="H1" s="300"/>
      <c r="I1" s="300"/>
      <c r="J1" s="300"/>
      <c r="K1" s="301"/>
      <c r="M1" s="43" t="s">
        <v>114</v>
      </c>
      <c r="N1" s="356" t="s">
        <v>115</v>
      </c>
      <c r="O1" s="356"/>
      <c r="P1" s="45"/>
      <c r="Q1" s="300" t="s">
        <v>220</v>
      </c>
      <c r="R1" s="300"/>
      <c r="S1" s="300"/>
      <c r="T1" s="300"/>
      <c r="U1" s="300"/>
      <c r="V1" s="300"/>
      <c r="W1" s="301"/>
    </row>
    <row r="2" spans="1:23" ht="31.5" customHeight="1" thickBot="1">
      <c r="A2" s="48" t="s">
        <v>66</v>
      </c>
      <c r="B2" s="35"/>
      <c r="C2" s="42" t="b">
        <f>IF(B2=1,I5,IF(B2=2,I6,IF(B2=3,I7,IF(B2=4,I8,IF(B2=5,I9,IF(B2=6,I10))))))</f>
        <v>0</v>
      </c>
      <c r="D2" s="51"/>
      <c r="E2" s="51"/>
      <c r="F2" s="50" t="s">
        <v>68</v>
      </c>
      <c r="G2" s="44" t="b">
        <f>IF(B2=1,K5-H5,IF(B2=2,K6-H6,IF(B2=3,K7-H7,IF(B2=4,K8-H8,IF(B2=5,K9-H9,IF(B2=6,K10-H10,IF(B2=7,K11-H11,IF(B2=8,K12-H12))))))))</f>
        <v>0</v>
      </c>
      <c r="H2" s="282" t="str">
        <f>IF(G2&lt;=-0.0501,"EXECUÇÃO MUITO INFERIOR À PREVISÃO DE ACÚMULO PARA ESTE BM - SOLICITAR NOVO BM PARA LIBERAR PAGAMENTO",IF(G2&lt;0,"BM MENOR DO QUE O PREVISTO - MARGEM TOLERÁVEL - LIBERAR PAGAMENTO COM JUSTIFICATIVA",IF(G2&gt;=0,"BM DENTRO DO ACUMULADO PREVISTO - LIBERAR PAGAMENTO")))</f>
        <v>BM DENTRO DO ACUMULADO PREVISTO - LIBERAR PAGAMENTO</v>
      </c>
      <c r="I2" s="282"/>
      <c r="J2" s="282"/>
      <c r="K2" s="283"/>
      <c r="M2" s="48" t="s">
        <v>66</v>
      </c>
      <c r="N2" s="35">
        <v>1</v>
      </c>
      <c r="O2" s="42">
        <f>IF(N2=1,U5,IF(N2=2,U6,IF(N2=3,U7,IF(N2=4,U8,IF(N2=5,U9,IF(N2=6,U10))))))</f>
        <v>44449</v>
      </c>
      <c r="P2" s="51"/>
      <c r="Q2" s="51"/>
      <c r="R2" s="50" t="s">
        <v>68</v>
      </c>
      <c r="S2" s="44">
        <f>IF(N2=1,W5-T5,IF(N2=2,W6-T6,IF(N2=3,W7-T7,IF(N2=4,W8-T8,IF(N2=5,W9-T9,IF(N2=6,W10-T10,IF(N2=7,W11-T11,IF(N2=8,W12-T12))))))))</f>
        <v>0.10950000000000004</v>
      </c>
      <c r="T2" s="282" t="str">
        <f>IF(S2&lt;=-0.0501,"EXECUÇÃO MUITO INFERIOR À PREVISÃO DE ACÚMULO PARA ESTE BM - SOLICITAR NOVO BM PARA LIBERAR PAGAMENTO",IF(S2&lt;0,"BM MENOR DO QUE O PREVISTO - MARGEM TOLERÁVEL - LIBERAR PAGAMENTO COM JUSTIFICATIVA",IF(S2&gt;=0,"BM DENTRO DO ACUMULADO PREVISTO - LIBERAR PAGAMENTO")))</f>
        <v>BM DENTRO DO ACUMULADO PREVISTO - LIBERAR PAGAMENTO</v>
      </c>
      <c r="U2" s="282"/>
      <c r="V2" s="282"/>
      <c r="W2" s="283"/>
    </row>
    <row r="3" spans="1:23" ht="15.75" thickBot="1">
      <c r="A3" s="37" t="s">
        <v>210</v>
      </c>
      <c r="B3" s="192" t="s">
        <v>223</v>
      </c>
      <c r="C3" s="193">
        <v>44777</v>
      </c>
      <c r="D3" s="38"/>
      <c r="E3" s="285" t="s">
        <v>64</v>
      </c>
      <c r="F3" s="286"/>
      <c r="G3" s="286"/>
      <c r="H3" s="286"/>
      <c r="I3" s="287" t="s">
        <v>65</v>
      </c>
      <c r="J3" s="287"/>
      <c r="K3" s="288"/>
      <c r="M3" s="37" t="s">
        <v>210</v>
      </c>
      <c r="N3" s="192" t="s">
        <v>224</v>
      </c>
      <c r="O3" s="193">
        <v>44777</v>
      </c>
      <c r="P3" s="38"/>
      <c r="Q3" s="285" t="s">
        <v>64</v>
      </c>
      <c r="R3" s="286"/>
      <c r="S3" s="286"/>
      <c r="T3" s="286"/>
      <c r="U3" s="287" t="s">
        <v>65</v>
      </c>
      <c r="V3" s="287"/>
      <c r="W3" s="288"/>
    </row>
    <row r="4" spans="1:23" ht="15.75" thickBot="1">
      <c r="A4" s="39" t="s">
        <v>211</v>
      </c>
      <c r="B4" s="194" t="s">
        <v>204</v>
      </c>
      <c r="C4" s="211">
        <v>6174.19</v>
      </c>
      <c r="D4" s="38"/>
      <c r="E4" s="52" t="s">
        <v>58</v>
      </c>
      <c r="F4" s="53" t="s">
        <v>61</v>
      </c>
      <c r="G4" s="54" t="s">
        <v>59</v>
      </c>
      <c r="H4" s="54" t="s">
        <v>63</v>
      </c>
      <c r="I4" s="55" t="s">
        <v>60</v>
      </c>
      <c r="J4" s="55" t="s">
        <v>62</v>
      </c>
      <c r="K4" s="56" t="s">
        <v>63</v>
      </c>
      <c r="M4" s="39" t="s">
        <v>211</v>
      </c>
      <c r="N4" s="194" t="s">
        <v>204</v>
      </c>
      <c r="O4" s="211">
        <v>1871.98</v>
      </c>
      <c r="P4" s="38"/>
      <c r="Q4" s="52" t="s">
        <v>58</v>
      </c>
      <c r="R4" s="53" t="s">
        <v>61</v>
      </c>
      <c r="S4" s="54" t="s">
        <v>59</v>
      </c>
      <c r="T4" s="54" t="s">
        <v>63</v>
      </c>
      <c r="U4" s="55" t="s">
        <v>60</v>
      </c>
      <c r="V4" s="55" t="s">
        <v>62</v>
      </c>
      <c r="W4" s="56" t="s">
        <v>63</v>
      </c>
    </row>
    <row r="5" spans="1:23" ht="15.75" thickBot="1">
      <c r="A5" s="72" t="s">
        <v>86</v>
      </c>
      <c r="B5" s="291" t="s">
        <v>218</v>
      </c>
      <c r="C5" s="291"/>
      <c r="D5" s="38"/>
      <c r="E5" s="57">
        <v>1</v>
      </c>
      <c r="F5" s="58">
        <f>B10+30</f>
        <v>44449</v>
      </c>
      <c r="G5" s="59">
        <v>0.75970000000000004</v>
      </c>
      <c r="H5" s="59">
        <f>G5</f>
        <v>0.75970000000000004</v>
      </c>
      <c r="I5" s="60"/>
      <c r="J5" s="61"/>
      <c r="K5" s="63">
        <f>J5</f>
        <v>0</v>
      </c>
      <c r="M5" s="72" t="s">
        <v>86</v>
      </c>
      <c r="N5" s="291" t="s">
        <v>218</v>
      </c>
      <c r="O5" s="291"/>
      <c r="P5" s="38"/>
      <c r="Q5" s="57">
        <v>1</v>
      </c>
      <c r="R5" s="58">
        <f>N10+30</f>
        <v>44449</v>
      </c>
      <c r="S5" s="59">
        <v>0.89049999999999996</v>
      </c>
      <c r="T5" s="59">
        <f>S5</f>
        <v>0.89049999999999996</v>
      </c>
      <c r="U5" s="60">
        <v>44449</v>
      </c>
      <c r="V5" s="61">
        <v>1</v>
      </c>
      <c r="W5" s="63">
        <f>V5</f>
        <v>1</v>
      </c>
    </row>
    <row r="6" spans="1:23" ht="15.75" thickBot="1">
      <c r="A6" s="71" t="s">
        <v>221</v>
      </c>
      <c r="B6" s="233">
        <v>123483.72</v>
      </c>
      <c r="C6" s="233"/>
      <c r="D6" s="38"/>
      <c r="E6" s="57">
        <v>2</v>
      </c>
      <c r="F6" s="58">
        <f>F5+30</f>
        <v>44479</v>
      </c>
      <c r="G6" s="59">
        <v>0.24030000000000001</v>
      </c>
      <c r="H6" s="59">
        <f>H5+G6</f>
        <v>1</v>
      </c>
      <c r="I6" s="60"/>
      <c r="J6" s="61"/>
      <c r="K6" s="63">
        <f>K5+J6</f>
        <v>0</v>
      </c>
      <c r="M6" s="71" t="s">
        <v>221</v>
      </c>
      <c r="N6" s="233">
        <v>37439.51</v>
      </c>
      <c r="O6" s="233"/>
      <c r="P6" s="38"/>
      <c r="Q6" s="57">
        <v>2</v>
      </c>
      <c r="R6" s="58">
        <f>R5+30</f>
        <v>44479</v>
      </c>
      <c r="S6" s="59">
        <v>0.1095</v>
      </c>
      <c r="T6" s="59">
        <f>T5+S6</f>
        <v>1</v>
      </c>
      <c r="U6" s="60"/>
      <c r="V6" s="61"/>
      <c r="W6" s="63">
        <f>W5+V6</f>
        <v>1</v>
      </c>
    </row>
    <row r="7" spans="1:23" ht="15.75" customHeight="1" thickBot="1">
      <c r="A7" s="37" t="s">
        <v>57</v>
      </c>
      <c r="B7" s="353" t="s">
        <v>222</v>
      </c>
      <c r="C7" s="353"/>
      <c r="D7" s="38"/>
      <c r="E7" s="57"/>
      <c r="F7" s="58"/>
      <c r="G7" s="59"/>
      <c r="H7" s="59"/>
      <c r="I7" s="99"/>
      <c r="J7" s="59"/>
      <c r="K7" s="100"/>
      <c r="M7" s="37" t="s">
        <v>57</v>
      </c>
      <c r="N7" s="353" t="s">
        <v>222</v>
      </c>
      <c r="O7" s="353"/>
      <c r="P7" s="38"/>
      <c r="Q7" s="57"/>
      <c r="R7" s="58"/>
      <c r="S7" s="59"/>
      <c r="T7" s="59"/>
      <c r="U7" s="99"/>
      <c r="V7" s="59"/>
      <c r="W7" s="100"/>
    </row>
    <row r="8" spans="1:23" ht="15.75" customHeight="1" thickBot="1">
      <c r="A8" s="209" t="s">
        <v>95</v>
      </c>
      <c r="B8" s="303">
        <v>60</v>
      </c>
      <c r="C8" s="303"/>
      <c r="D8" s="38"/>
      <c r="E8" s="57"/>
      <c r="F8" s="58"/>
      <c r="G8" s="59"/>
      <c r="H8" s="59"/>
      <c r="I8" s="99"/>
      <c r="J8" s="59"/>
      <c r="K8" s="100"/>
      <c r="M8" s="209" t="s">
        <v>95</v>
      </c>
      <c r="N8" s="303">
        <v>60</v>
      </c>
      <c r="O8" s="303"/>
      <c r="P8" s="38"/>
      <c r="Q8" s="57"/>
      <c r="R8" s="58"/>
      <c r="S8" s="59"/>
      <c r="T8" s="59"/>
      <c r="U8" s="99"/>
      <c r="V8" s="59"/>
      <c r="W8" s="100"/>
    </row>
    <row r="9" spans="1:23" ht="15.75" thickBot="1">
      <c r="A9" s="76" t="s">
        <v>96</v>
      </c>
      <c r="B9" s="284"/>
      <c r="C9" s="284"/>
      <c r="D9" s="38"/>
      <c r="E9" s="57"/>
      <c r="F9" s="58"/>
      <c r="G9" s="59"/>
      <c r="H9" s="59"/>
      <c r="I9" s="92"/>
      <c r="J9" s="92"/>
      <c r="K9" s="220"/>
      <c r="M9" s="76" t="s">
        <v>96</v>
      </c>
      <c r="N9" s="284"/>
      <c r="O9" s="284"/>
      <c r="P9" s="38"/>
      <c r="Q9" s="57"/>
      <c r="R9" s="58"/>
      <c r="S9" s="59"/>
      <c r="T9" s="59"/>
      <c r="U9" s="92"/>
      <c r="V9" s="92"/>
      <c r="W9" s="220"/>
    </row>
    <row r="10" spans="1:23" ht="15.75" thickBot="1">
      <c r="A10" s="39" t="s">
        <v>36</v>
      </c>
      <c r="B10" s="271">
        <v>44419</v>
      </c>
      <c r="C10" s="271"/>
      <c r="D10" s="40"/>
      <c r="E10" s="57"/>
      <c r="F10" s="58"/>
      <c r="G10" s="59"/>
      <c r="H10" s="59"/>
      <c r="I10" s="92"/>
      <c r="J10" s="92"/>
      <c r="K10" s="221"/>
      <c r="M10" s="39" t="s">
        <v>36</v>
      </c>
      <c r="N10" s="271">
        <v>44419</v>
      </c>
      <c r="O10" s="271"/>
      <c r="P10" s="40"/>
      <c r="Q10" s="57"/>
      <c r="R10" s="58"/>
      <c r="S10" s="59"/>
      <c r="T10" s="59"/>
      <c r="U10" s="92"/>
      <c r="V10" s="92"/>
      <c r="W10" s="221"/>
    </row>
    <row r="11" spans="1:23" ht="15.75" thickBot="1">
      <c r="A11" s="37" t="s">
        <v>69</v>
      </c>
      <c r="B11" s="272">
        <f>B10+B8+B9</f>
        <v>44479</v>
      </c>
      <c r="C11" s="272"/>
      <c r="D11" s="38"/>
      <c r="E11" s="89"/>
      <c r="F11" s="90"/>
      <c r="G11" s="91"/>
      <c r="H11" s="91"/>
      <c r="I11" s="89"/>
      <c r="J11" s="90"/>
      <c r="K11" s="96"/>
      <c r="M11" s="37" t="s">
        <v>69</v>
      </c>
      <c r="N11" s="272">
        <f>N10+N8+N9</f>
        <v>44479</v>
      </c>
      <c r="O11" s="272"/>
      <c r="P11" s="38"/>
      <c r="Q11" s="89"/>
      <c r="R11" s="90"/>
      <c r="S11" s="91"/>
      <c r="T11" s="91"/>
      <c r="U11" s="89"/>
      <c r="V11" s="90"/>
      <c r="W11" s="96"/>
    </row>
    <row r="12" spans="1:23" ht="15.75" thickBot="1">
      <c r="A12" s="39" t="s">
        <v>25</v>
      </c>
      <c r="B12" s="273" t="b">
        <f>IF(B2=1,K5,IF(B2=2,K6,IF(B2=3,K7,IF(B2=4,K8,IF(B2=5,K9,IF(B2=6,K10,IF(B2=7,K11,IF(B2=8,K12))))))))</f>
        <v>0</v>
      </c>
      <c r="C12" s="273"/>
      <c r="D12" s="38"/>
      <c r="E12" s="92"/>
      <c r="F12" s="90"/>
      <c r="G12" s="91"/>
      <c r="H12" s="91"/>
      <c r="I12" s="92"/>
      <c r="J12" s="90"/>
      <c r="K12" s="96"/>
      <c r="M12" s="39" t="s">
        <v>25</v>
      </c>
      <c r="N12" s="273">
        <f>IF(N2=1,W5,IF(N2=2,W6,IF(N2=3,W7,IF(N2=4,W8,IF(N2=5,W9,IF(N2=6,W10,IF(N2=7,W11,IF(N2=8,W12))))))))</f>
        <v>1</v>
      </c>
      <c r="O12" s="273"/>
      <c r="P12" s="38"/>
      <c r="Q12" s="92"/>
      <c r="R12" s="90"/>
      <c r="S12" s="91"/>
      <c r="T12" s="91"/>
      <c r="U12" s="92"/>
      <c r="V12" s="90"/>
      <c r="W12" s="96"/>
    </row>
    <row r="13" spans="1:23">
      <c r="A13" s="37" t="s">
        <v>67</v>
      </c>
      <c r="B13" s="46" t="b">
        <f>IF(B$2=1,2,IF(B$2=2,3,IF(B$2=3,4,IF(B$2=4,5,IF(B$2=5,6,IF(B$2=6,7,IF(B$2=7,8)))))))</f>
        <v>0</v>
      </c>
      <c r="C13" s="223" t="b">
        <f>IF(B$2=1,F$6,IF(B$2=2,F$7,IF(B$2=3,F$8,IF(B$2=4,F$9,IF(B$2=5,F$10,IF(B$2=6,F$11,IF(B$2=7,F$12)))))))</f>
        <v>0</v>
      </c>
      <c r="D13" s="38"/>
      <c r="E13" s="93"/>
      <c r="F13" s="93"/>
      <c r="G13" s="93"/>
      <c r="H13" s="93"/>
      <c r="I13" s="93"/>
      <c r="J13" s="93"/>
      <c r="K13" s="94"/>
      <c r="M13" s="37" t="s">
        <v>67</v>
      </c>
      <c r="N13" s="46" t="b">
        <f>IF(B$2=1,2,IF(B$2=2,3,IF(B$2=3,4,IF(B$2=4,5,IF(B$2=5,6,IF(B$2=6,7,IF(B$2=7,8)))))))</f>
        <v>0</v>
      </c>
      <c r="O13" s="223" t="b">
        <f>IF(B$2=1,F$6,IF(B$2=2,F$7,IF(B$2=3,F$8,IF(B$2=4,F$9,IF(B$2=5,F$10,IF(B$2=6,F$11,IF(B$2=7,F$12)))))))</f>
        <v>0</v>
      </c>
      <c r="P13" s="38"/>
      <c r="Q13" s="93"/>
      <c r="R13" s="93"/>
      <c r="S13" s="93"/>
      <c r="T13" s="93"/>
      <c r="U13" s="93"/>
      <c r="V13" s="93"/>
      <c r="W13" s="94"/>
    </row>
    <row r="14" spans="1:23" ht="30">
      <c r="A14" s="65" t="s">
        <v>84</v>
      </c>
      <c r="B14" s="274" t="b">
        <f>IF($B$2=1,H$6-K$5,IF($B$2=2,H$7-K$6,IF($B$2=3,H$8-K$7,IF($B$2=4,H$9-K$8,IF($B$2=5,H$10-K$9,IF($B$2=6,H$11-K$10,IF($B$2=7,H$12-K$11)))))))</f>
        <v>0</v>
      </c>
      <c r="C14" s="274"/>
      <c r="D14" s="41"/>
      <c r="E14" s="305" t="str">
        <f ca="1">IF(TODAY()&gt;C13,"OBRA ATRASADA","")</f>
        <v/>
      </c>
      <c r="F14" s="305"/>
      <c r="G14" s="222" t="str">
        <f ca="1">IF(TODAY()&gt;C13,"EM","")</f>
        <v/>
      </c>
      <c r="H14" s="222" t="str">
        <f ca="1">IF(TODAY()&gt;C13,TODAY()-C13,"")</f>
        <v/>
      </c>
      <c r="I14" s="327" t="str">
        <f t="shared" ref="I14" ca="1" si="0">IF(TODAY()&gt;C13,"DIAS EM RELAÇÃO AO CRONOGRAMA","")</f>
        <v/>
      </c>
      <c r="J14" s="327"/>
      <c r="K14" s="328"/>
      <c r="M14" s="65" t="s">
        <v>84</v>
      </c>
      <c r="N14" s="274" t="b">
        <f>IF($B$2=1,H$6-K$5,IF($B$2=2,H$7-K$6,IF($B$2=3,H$8-K$7,IF($B$2=4,H$9-K$8,IF($B$2=5,H$10-K$9,IF($B$2=6,H$11-K$10,IF($B$2=7,H$12-K$11)))))))</f>
        <v>0</v>
      </c>
      <c r="O14" s="274"/>
      <c r="P14" s="41"/>
      <c r="Q14" s="305" t="str">
        <f ca="1">IF(TODAY()&gt;O13,"OBRA ATRASADA","")</f>
        <v/>
      </c>
      <c r="R14" s="305"/>
      <c r="S14" s="222" t="str">
        <f ca="1">IF(TODAY()&gt;O13,"EM","")</f>
        <v/>
      </c>
      <c r="T14" s="222" t="str">
        <f ca="1">IF(TODAY()&gt;O13,TODAY()-O13,"")</f>
        <v/>
      </c>
      <c r="U14" s="327" t="str">
        <f t="shared" ref="U14" ca="1" si="1">IF(TODAY()&gt;O13,"DIAS EM RELAÇÃO AO CRONOGRAMA","")</f>
        <v/>
      </c>
      <c r="V14" s="327"/>
      <c r="W14" s="328"/>
    </row>
    <row r="16" spans="1:23" ht="15" customHeight="1">
      <c r="A16" s="363" t="s">
        <v>225</v>
      </c>
      <c r="B16" s="363"/>
      <c r="C16" s="363"/>
      <c r="M16" s="363" t="s">
        <v>226</v>
      </c>
      <c r="N16" s="363"/>
      <c r="O16" s="363"/>
    </row>
    <row r="17" spans="1:23">
      <c r="A17" s="363"/>
      <c r="B17" s="363"/>
      <c r="C17" s="363"/>
      <c r="I17" s="217"/>
      <c r="J17" s="217"/>
      <c r="M17" s="363"/>
      <c r="N17" s="363"/>
      <c r="O17" s="363"/>
      <c r="U17" s="217"/>
      <c r="V17" s="217"/>
    </row>
    <row r="18" spans="1:23">
      <c r="A18" s="363"/>
      <c r="B18" s="363"/>
      <c r="C18" s="363"/>
      <c r="M18" s="363"/>
      <c r="N18" s="363"/>
      <c r="O18" s="363"/>
    </row>
    <row r="19" spans="1:23">
      <c r="A19" s="363"/>
      <c r="B19" s="363"/>
      <c r="C19" s="363"/>
      <c r="M19" s="363"/>
      <c r="N19" s="363"/>
      <c r="O19" s="363"/>
    </row>
    <row r="20" spans="1:23">
      <c r="A20" s="363"/>
      <c r="B20" s="363"/>
      <c r="C20" s="363"/>
      <c r="M20" s="363"/>
      <c r="N20" s="363"/>
      <c r="O20" s="363"/>
    </row>
    <row r="21" spans="1:23">
      <c r="A21" s="363"/>
      <c r="B21" s="363"/>
      <c r="C21" s="363"/>
      <c r="M21" s="363"/>
      <c r="N21" s="363"/>
      <c r="O21" s="363"/>
    </row>
    <row r="22" spans="1:23">
      <c r="A22" s="74"/>
      <c r="B22" s="74"/>
      <c r="C22" s="74"/>
      <c r="M22" s="74"/>
      <c r="N22" s="74"/>
      <c r="O22" s="74"/>
    </row>
    <row r="24" spans="1:23">
      <c r="A24" s="281" t="s">
        <v>169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M24" s="281" t="s">
        <v>169</v>
      </c>
      <c r="N24" s="281"/>
      <c r="O24" s="281"/>
      <c r="P24" s="281"/>
      <c r="Q24" s="281"/>
      <c r="R24" s="281"/>
      <c r="S24" s="281"/>
      <c r="T24" s="281"/>
      <c r="U24" s="281"/>
      <c r="V24" s="281"/>
      <c r="W24" s="281"/>
    </row>
    <row r="28" spans="1:23" ht="31.5" customHeight="1"/>
  </sheetData>
  <mergeCells count="34">
    <mergeCell ref="M24:W24"/>
    <mergeCell ref="N7:O7"/>
    <mergeCell ref="N8:O8"/>
    <mergeCell ref="N9:O9"/>
    <mergeCell ref="N10:O10"/>
    <mergeCell ref="N11:O11"/>
    <mergeCell ref="N12:O12"/>
    <mergeCell ref="N14:O14"/>
    <mergeCell ref="Q14:R14"/>
    <mergeCell ref="U14:W14"/>
    <mergeCell ref="M16:O21"/>
    <mergeCell ref="N1:O1"/>
    <mergeCell ref="Q1:W1"/>
    <mergeCell ref="T2:W2"/>
    <mergeCell ref="Q3:T3"/>
    <mergeCell ref="U3:W3"/>
    <mergeCell ref="N5:O5"/>
    <mergeCell ref="B12:C12"/>
    <mergeCell ref="B14:C14"/>
    <mergeCell ref="E14:F14"/>
    <mergeCell ref="I14:K14"/>
    <mergeCell ref="B5:C5"/>
    <mergeCell ref="A16:C21"/>
    <mergeCell ref="A24:K24"/>
    <mergeCell ref="B7:C7"/>
    <mergeCell ref="B8:C8"/>
    <mergeCell ref="B9:C9"/>
    <mergeCell ref="B10:C10"/>
    <mergeCell ref="B11:C11"/>
    <mergeCell ref="B1:C1"/>
    <mergeCell ref="E1:K1"/>
    <mergeCell ref="H2:K2"/>
    <mergeCell ref="E3:H3"/>
    <mergeCell ref="I3:K3"/>
  </mergeCells>
  <conditionalFormatting sqref="G2">
    <cfRule type="cellIs" dxfId="35" priority="35" operator="greaterThanOrEqual">
      <formula>0</formula>
    </cfRule>
    <cfRule type="cellIs" dxfId="34" priority="36" operator="lessThan">
      <formula>0</formula>
    </cfRule>
  </conditionalFormatting>
  <conditionalFormatting sqref="E14">
    <cfRule type="containsText" dxfId="33" priority="34" operator="containsText" text="OBRA ATRASADA">
      <formula>NOT(ISERROR(SEARCH("OBRA ATRASADA",E14)))</formula>
    </cfRule>
  </conditionalFormatting>
  <conditionalFormatting sqref="H2">
    <cfRule type="cellIs" dxfId="32" priority="31" operator="equal">
      <formula>"BM DENTRO DO ACUMULADO PREVISTO - PODE SER PAGO"</formula>
    </cfRule>
    <cfRule type="cellIs" dxfId="31" priority="32" operator="equal">
      <formula>"BM MENOR DO QUE O PREVISO - MARGEM TOLERÁVEL - LIBERAR PAGAMENTO COM JUSTIFICATIVA"</formula>
    </cfRule>
    <cfRule type="cellIs" dxfId="30" priority="33" operator="equal">
      <formula>"EXECUÇÃO MUITO INFERIOR À PREVISÃO DE ACÚMULO PARA ESTE BM - AGUARDANDO NOVO BM PARA LIBERAR PAGAMENTO"</formula>
    </cfRule>
  </conditionalFormatting>
  <conditionalFormatting sqref="H2">
    <cfRule type="cellIs" dxfId="29" priority="28" operator="equal">
      <formula>"PAGAMENTO DO BM LIBERADO"</formula>
    </cfRule>
    <cfRule type="cellIs" dxfId="28" priority="29" operator="equal">
      <formula>"BM MENOR DO QUE O PREVISO - MARGEM TOLERÁVEL - LIBERAR PAGAMENTO COM JUSTIFICATIVA"</formula>
    </cfRule>
    <cfRule type="cellIs" dxfId="27" priority="30" operator="equal">
      <formula>"EXECUÇÃO MUITO INFERIOR À PREVISTA PARA ESTE BM - AGUARDANDO NOVO BM PARA LIBERAR PAGAMENTO"</formula>
    </cfRule>
  </conditionalFormatting>
  <conditionalFormatting sqref="H2">
    <cfRule type="cellIs" dxfId="26" priority="25" operator="equal">
      <formula>"BM DENTRO DO ACUMULADO PREVISTO - PODE SER PAGO"</formula>
    </cfRule>
    <cfRule type="cellIs" dxfId="25" priority="26" operator="equal">
      <formula>"BM MENOR DO QUE O PREVISO - MARGEM TOLERÁVEL - LIBERAR PAGAMENTO COM JUSTIFICATIVA"</formula>
    </cfRule>
    <cfRule type="cellIs" dxfId="24" priority="27" operator="equal">
      <formula>"EXECUÇÃO MUITO INFERIOR À PREVISÃO DE ACÚMULO PARA ESTE BM - SOLICITAR NOVO BM PARA LIBERAR PAGAMENTO"</formula>
    </cfRule>
  </conditionalFormatting>
  <conditionalFormatting sqref="C13">
    <cfRule type="expression" dxfId="23" priority="24">
      <formula>C13&lt;(TODAY())</formula>
    </cfRule>
  </conditionalFormatting>
  <conditionalFormatting sqref="H2">
    <cfRule type="cellIs" dxfId="22" priority="21" operator="equal">
      <formula>"BM DENTRO DO ACUMULADO PREVISTO - LIBERAR PAGAMENTO"</formula>
    </cfRule>
    <cfRule type="cellIs" dxfId="21" priority="22" operator="equal">
      <formula>"BM MENOR DO QUE O PREVISTO - MARGEM TOLERÁVEL - LIBERAR PAGAMENTO COM JUSTIFICATIVA"</formula>
    </cfRule>
    <cfRule type="cellIs" dxfId="20" priority="23" operator="equal">
      <formula>"EXECUÇÃO MUITO INFERIOR À PREVISÃO DE ACÚMULO PARA ESTE BM - SOLICITAR NOVO BM PARA LIBERAR PAGAMENTO"</formula>
    </cfRule>
  </conditionalFormatting>
  <conditionalFormatting sqref="B14:C14">
    <cfRule type="cellIs" dxfId="19" priority="20" operator="lessThanOrEqual">
      <formula>0</formula>
    </cfRule>
  </conditionalFormatting>
  <conditionalFormatting sqref="A14">
    <cfRule type="expression" dxfId="18" priority="19">
      <formula>$B$13&lt;=0</formula>
    </cfRule>
  </conditionalFormatting>
  <conditionalFormatting sqref="S2">
    <cfRule type="cellIs" dxfId="17" priority="17" operator="greaterThanOrEqual">
      <formula>0</formula>
    </cfRule>
    <cfRule type="cellIs" dxfId="16" priority="18" operator="lessThan">
      <formula>0</formula>
    </cfRule>
  </conditionalFormatting>
  <conditionalFormatting sqref="Q14">
    <cfRule type="containsText" dxfId="15" priority="16" operator="containsText" text="OBRA ATRASADA">
      <formula>NOT(ISERROR(SEARCH("OBRA ATRASADA",Q14)))</formula>
    </cfRule>
  </conditionalFormatting>
  <conditionalFormatting sqref="T2">
    <cfRule type="cellIs" dxfId="14" priority="13" operator="equal">
      <formula>"BM DENTRO DO ACUMULADO PREVISTO - PODE SER PAGO"</formula>
    </cfRule>
    <cfRule type="cellIs" dxfId="13" priority="14" operator="equal">
      <formula>"BM MENOR DO QUE O PREVISO - MARGEM TOLERÁVEL - LIBERAR PAGAMENTO COM JUSTIFICATIVA"</formula>
    </cfRule>
    <cfRule type="cellIs" dxfId="12" priority="15" operator="equal">
      <formula>"EXECUÇÃO MUITO INFERIOR À PREVISÃO DE ACÚMULO PARA ESTE BM - AGUARDANDO NOVO BM PARA LIBERAR PAGAMENTO"</formula>
    </cfRule>
  </conditionalFormatting>
  <conditionalFormatting sqref="T2">
    <cfRule type="cellIs" dxfId="11" priority="10" operator="equal">
      <formula>"PAGAMENTO DO BM LIBERADO"</formula>
    </cfRule>
    <cfRule type="cellIs" dxfId="10" priority="11" operator="equal">
      <formula>"BM MENOR DO QUE O PREVISO - MARGEM TOLERÁVEL - LIBERAR PAGAMENTO COM JUSTIFICATIVA"</formula>
    </cfRule>
    <cfRule type="cellIs" dxfId="9" priority="12" operator="equal">
      <formula>"EXECUÇÃO MUITO INFERIOR À PREVISTA PARA ESTE BM - AGUARDANDO NOVO BM PARA LIBERAR PAGAMENTO"</formula>
    </cfRule>
  </conditionalFormatting>
  <conditionalFormatting sqref="T2">
    <cfRule type="cellIs" dxfId="8" priority="7" operator="equal">
      <formula>"BM DENTRO DO ACUMULADO PREVISTO - PODE SER PAGO"</formula>
    </cfRule>
    <cfRule type="cellIs" dxfId="7" priority="8" operator="equal">
      <formula>"BM MENOR DO QUE O PREVISO - MARGEM TOLERÁVEL - LIBERAR PAGAMENTO COM JUSTIFICATIVA"</formula>
    </cfRule>
    <cfRule type="cellIs" dxfId="6" priority="9" operator="equal">
      <formula>"EXECUÇÃO MUITO INFERIOR À PREVISÃO DE ACÚMULO PARA ESTE BM - SOLICITAR NOVO BM PARA LIBERAR PAGAMENTO"</formula>
    </cfRule>
  </conditionalFormatting>
  <conditionalFormatting sqref="O13">
    <cfRule type="expression" dxfId="5" priority="6">
      <formula>O13&lt;(TODAY())</formula>
    </cfRule>
  </conditionalFormatting>
  <conditionalFormatting sqref="T2">
    <cfRule type="cellIs" dxfId="4" priority="3" operator="equal">
      <formula>"BM DENTRO DO ACUMULADO PREVISTO - LIBERAR PAGAMENTO"</formula>
    </cfRule>
    <cfRule type="cellIs" dxfId="3" priority="4" operator="equal">
      <formula>"BM MENOR DO QUE O PREVISTO - MARGEM TOLERÁVEL - LIBERAR PAGAMENTO COM JUSTIFICATIVA"</formula>
    </cfRule>
    <cfRule type="cellIs" dxfId="2" priority="5" operator="equal">
      <formula>"EXECUÇÃO MUITO INFERIOR À PREVISÃO DE ACÚMULO PARA ESTE BM - SOLICITAR NOVO BM PARA LIBERAR PAGAMENTO"</formula>
    </cfRule>
  </conditionalFormatting>
  <conditionalFormatting sqref="N14:O14">
    <cfRule type="cellIs" dxfId="1" priority="2" operator="lessThanOrEqual">
      <formula>0</formula>
    </cfRule>
  </conditionalFormatting>
  <conditionalFormatting sqref="M14">
    <cfRule type="expression" dxfId="0" priority="1">
      <formula>$B$13&lt;=0</formula>
    </cfRule>
  </conditionalFormatting>
  <pageMargins left="0.51181102362204722" right="0.51181102362204722" top="1.1811023622047245" bottom="0.78740157480314965" header="0.31496062992125984" footer="0.31496062992125984"/>
  <pageSetup paperSize="9" orientation="landscape" horizontalDpi="4294967293" verticalDpi="4294967293" r:id="rId1"/>
  <headerFooter>
    <oddHeader>&amp;C&amp;G
Prefeitura Municipal de Restinga Sêca
- Acompanhamento de evolução de obra -</oddHeader>
    <oddFooter>&amp;CDocumento impresso em &amp;D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35"/>
  <sheetViews>
    <sheetView topLeftCell="A106" zoomScale="85" zoomScaleNormal="85" workbookViewId="0">
      <selection activeCell="A112" sqref="A112"/>
    </sheetView>
  </sheetViews>
  <sheetFormatPr defaultRowHeight="15"/>
  <cols>
    <col min="1" max="1" width="27" style="15" bestFit="1" customWidth="1"/>
    <col min="2" max="2" width="13.28515625" style="15" customWidth="1"/>
    <col min="3" max="3" width="15.42578125" style="15" customWidth="1"/>
    <col min="4" max="4" width="0.7109375" style="15" customWidth="1"/>
    <col min="5" max="5" width="4.140625" style="15" bestFit="1" customWidth="1"/>
    <col min="6" max="6" width="13.7109375" style="15" bestFit="1" customWidth="1"/>
    <col min="7" max="7" width="10.7109375" style="15" bestFit="1" customWidth="1"/>
    <col min="8" max="8" width="12" style="15" bestFit="1" customWidth="1"/>
    <col min="9" max="9" width="14.42578125" style="15" bestFit="1" customWidth="1"/>
    <col min="10" max="10" width="12.5703125" style="15" bestFit="1" customWidth="1"/>
    <col min="11" max="11" width="12" style="15" bestFit="1" customWidth="1"/>
    <col min="12" max="12" width="1.85546875" style="15" customWidth="1"/>
    <col min="13" max="13" width="17.85546875" style="15" bestFit="1" customWidth="1"/>
    <col min="14" max="14" width="14.7109375" style="15" bestFit="1" customWidth="1"/>
    <col min="15" max="15" width="16.7109375" style="15" bestFit="1" customWidth="1"/>
    <col min="16" max="17" width="15.28515625" style="15" bestFit="1" customWidth="1"/>
    <col min="18" max="18" width="16" style="15" bestFit="1" customWidth="1"/>
    <col min="19" max="19" width="20" style="15" bestFit="1" customWidth="1"/>
    <col min="20" max="16384" width="9.140625" style="15"/>
  </cols>
  <sheetData>
    <row r="1" spans="1:19" ht="15.75" thickBot="1">
      <c r="A1" s="43" t="s">
        <v>2</v>
      </c>
      <c r="B1" s="299" t="s">
        <v>85</v>
      </c>
      <c r="C1" s="299"/>
      <c r="D1" s="45"/>
      <c r="E1" s="300" t="s">
        <v>54</v>
      </c>
      <c r="F1" s="300"/>
      <c r="G1" s="300"/>
      <c r="H1" s="300"/>
      <c r="I1" s="300"/>
      <c r="J1" s="300"/>
      <c r="K1" s="301"/>
      <c r="S1" s="189"/>
    </row>
    <row r="2" spans="1:19" ht="16.5" thickBot="1">
      <c r="A2" s="48" t="s">
        <v>66</v>
      </c>
      <c r="B2" s="35">
        <v>3</v>
      </c>
      <c r="C2" s="42">
        <f>IF(B2=1,I5,IF(B2=2,I6,IF(B2=3,I7)))</f>
        <v>44036</v>
      </c>
      <c r="D2" s="51"/>
      <c r="E2" s="51"/>
      <c r="F2" s="50" t="s">
        <v>68</v>
      </c>
      <c r="G2" s="44">
        <f>IF(B2=1,K5-H5,IF(B2=2,K6-H6,IF(B2=3,K7-H7)))</f>
        <v>0</v>
      </c>
      <c r="H2" s="282" t="str">
        <f>IF(G2&lt;=-0.0501,"EXECUÇÃO MUITO INFERIOR À PREVISÃO DE ACÚMULO PARA ESTE BM - SOLICITAR NOVO BM PARA LIBERAR PAGAMENTO",IF(G2&lt;0,"BM MENOR DO QUE O PREVISTO - MARGEM TOLERÁVEL - LIBERAR PAGAMENTO COM JUSTIFICATIVA",IF(G2&gt;=0,"BM DENTRO DO ACUMULADO PREVISTO - LIBERAR PAGAMENTO")))</f>
        <v>BM DENTRO DO ACUMULADO PREVISTO - LIBERAR PAGAMENTO</v>
      </c>
      <c r="I2" s="282"/>
      <c r="J2" s="282"/>
      <c r="K2" s="283"/>
      <c r="P2" s="189"/>
    </row>
    <row r="3" spans="1:19" ht="15.75" thickBot="1">
      <c r="A3" s="37" t="s">
        <v>4</v>
      </c>
      <c r="B3" s="284" t="s">
        <v>56</v>
      </c>
      <c r="C3" s="284"/>
      <c r="D3" s="38"/>
      <c r="E3" s="285" t="s">
        <v>64</v>
      </c>
      <c r="F3" s="286"/>
      <c r="G3" s="286"/>
      <c r="H3" s="286"/>
      <c r="I3" s="287" t="s">
        <v>65</v>
      </c>
      <c r="J3" s="287"/>
      <c r="K3" s="288"/>
    </row>
    <row r="4" spans="1:19" ht="15.75" thickBot="1">
      <c r="A4" s="71" t="s">
        <v>86</v>
      </c>
      <c r="B4" s="303" t="s">
        <v>90</v>
      </c>
      <c r="C4" s="303"/>
      <c r="D4" s="38"/>
      <c r="E4" s="52" t="s">
        <v>58</v>
      </c>
      <c r="F4" s="53" t="s">
        <v>61</v>
      </c>
      <c r="G4" s="54" t="s">
        <v>59</v>
      </c>
      <c r="H4" s="54" t="s">
        <v>63</v>
      </c>
      <c r="I4" s="55" t="s">
        <v>60</v>
      </c>
      <c r="J4" s="55" t="s">
        <v>62</v>
      </c>
      <c r="K4" s="56" t="s">
        <v>63</v>
      </c>
    </row>
    <row r="5" spans="1:19" ht="15.75" thickBot="1">
      <c r="A5" s="72" t="s">
        <v>88</v>
      </c>
      <c r="B5" s="304">
        <v>189390.61</v>
      </c>
      <c r="C5" s="284"/>
      <c r="D5" s="38"/>
      <c r="E5" s="57">
        <v>1</v>
      </c>
      <c r="F5" s="58">
        <f>B9+30</f>
        <v>43754</v>
      </c>
      <c r="G5" s="59">
        <v>0.44490000000000002</v>
      </c>
      <c r="H5" s="59">
        <f>G5</f>
        <v>0.44490000000000002</v>
      </c>
      <c r="I5" s="60">
        <v>43734</v>
      </c>
      <c r="J5" s="61">
        <v>0.44490000000000002</v>
      </c>
      <c r="K5" s="63">
        <f>J5</f>
        <v>0.44490000000000002</v>
      </c>
    </row>
    <row r="6" spans="1:19" ht="15.75" thickBot="1">
      <c r="A6" s="39" t="s">
        <v>57</v>
      </c>
      <c r="B6" s="292" t="s">
        <v>55</v>
      </c>
      <c r="C6" s="292"/>
      <c r="D6" s="38"/>
      <c r="E6" s="57">
        <v>2</v>
      </c>
      <c r="F6" s="58">
        <f>F5+30</f>
        <v>43784</v>
      </c>
      <c r="G6" s="59">
        <v>0.43969999999999998</v>
      </c>
      <c r="H6" s="59">
        <f>H5+G6</f>
        <v>0.88460000000000005</v>
      </c>
      <c r="I6" s="60">
        <v>43958</v>
      </c>
      <c r="J6" s="61">
        <v>0.29289999999999999</v>
      </c>
      <c r="K6" s="63">
        <f>K5+J6</f>
        <v>0.73780000000000001</v>
      </c>
    </row>
    <row r="7" spans="1:19" ht="15.75" customHeight="1" thickBot="1">
      <c r="A7" s="76" t="s">
        <v>95</v>
      </c>
      <c r="B7" s="284">
        <v>90</v>
      </c>
      <c r="C7" s="284"/>
      <c r="D7" s="38"/>
      <c r="E7" s="57">
        <v>3</v>
      </c>
      <c r="F7" s="58">
        <f>F6+30</f>
        <v>43814</v>
      </c>
      <c r="G7" s="59">
        <v>0.1154</v>
      </c>
      <c r="H7" s="59">
        <f>H6+G7</f>
        <v>1</v>
      </c>
      <c r="I7" s="60">
        <v>44036</v>
      </c>
      <c r="J7" s="61">
        <v>0.26219999999999999</v>
      </c>
      <c r="K7" s="63">
        <f>K6+J7</f>
        <v>1</v>
      </c>
    </row>
    <row r="8" spans="1:19">
      <c r="A8" s="76" t="s">
        <v>96</v>
      </c>
      <c r="B8" s="284">
        <f t="shared" ref="B8" si="0">148+90</f>
        <v>238</v>
      </c>
      <c r="C8" s="284"/>
      <c r="D8" s="38"/>
      <c r="E8" s="78"/>
      <c r="F8" s="78"/>
      <c r="G8" s="78"/>
      <c r="H8" s="78"/>
      <c r="I8" s="78"/>
      <c r="J8" s="78"/>
      <c r="K8" s="82"/>
    </row>
    <row r="9" spans="1:19" ht="15.75" thickBot="1">
      <c r="A9" s="39" t="s">
        <v>36</v>
      </c>
      <c r="B9" s="271">
        <v>43724</v>
      </c>
      <c r="C9" s="271"/>
      <c r="D9" s="38"/>
      <c r="E9" s="78"/>
      <c r="F9" s="78"/>
      <c r="G9" s="78"/>
      <c r="H9" s="78"/>
      <c r="I9" s="78"/>
      <c r="J9" s="78"/>
      <c r="K9" s="82"/>
    </row>
    <row r="10" spans="1:19" ht="15.75" thickBot="1">
      <c r="A10" s="37" t="s">
        <v>69</v>
      </c>
      <c r="B10" s="272">
        <f>B9+B7+B8</f>
        <v>44052</v>
      </c>
      <c r="C10" s="272"/>
      <c r="D10" s="40"/>
      <c r="E10" s="83"/>
      <c r="F10" s="84"/>
      <c r="G10" s="84"/>
      <c r="H10" s="84"/>
      <c r="I10" s="84"/>
      <c r="J10" s="84"/>
      <c r="K10" s="85"/>
    </row>
    <row r="11" spans="1:19" ht="15.75" thickBot="1">
      <c r="A11" s="39" t="s">
        <v>25</v>
      </c>
      <c r="B11" s="273">
        <f>IF(B2=1,K5,IF(B2=2,K6,IF(B2=3,K7)))</f>
        <v>1</v>
      </c>
      <c r="C11" s="273"/>
      <c r="D11" s="38"/>
      <c r="E11" s="83"/>
      <c r="F11" s="84"/>
      <c r="G11" s="84"/>
      <c r="H11" s="84"/>
      <c r="I11" s="84"/>
      <c r="J11" s="84"/>
      <c r="K11" s="85"/>
    </row>
    <row r="12" spans="1:19">
      <c r="A12" s="73"/>
      <c r="B12" s="302"/>
      <c r="C12" s="302"/>
      <c r="D12" s="38"/>
      <c r="E12" s="86"/>
      <c r="F12" s="87"/>
      <c r="G12" s="87"/>
      <c r="H12" s="87"/>
      <c r="I12" s="87"/>
      <c r="J12" s="87"/>
      <c r="K12" s="88"/>
    </row>
    <row r="13" spans="1:19">
      <c r="A13" s="37" t="s">
        <v>67</v>
      </c>
      <c r="B13" s="46">
        <f>IF(B$62=1,2,IF(B$62=2,3,IF(B$62=3,4,IF(B$62=4,5,IF(B$62=5,6,IF(B$62=6,7,IF(B$62=7,8)))))))</f>
        <v>5</v>
      </c>
      <c r="C13" s="47">
        <f>IF(B$62=1,F$66,IF(B$62=2,F$67,IF(B$62=3,F$70,IF(B$62=4,F$71,IF(B$62=5,F$72,IF(B$62=6,F$73,IF(B$62=7,F$74)))))))</f>
        <v>0</v>
      </c>
      <c r="D13" s="38"/>
      <c r="E13" s="78"/>
      <c r="F13" s="78"/>
      <c r="G13" s="78"/>
      <c r="H13" s="78"/>
      <c r="I13" s="78"/>
      <c r="J13" s="78"/>
      <c r="K13" s="82"/>
    </row>
    <row r="14" spans="1:19" ht="30">
      <c r="A14" s="65" t="s">
        <v>84</v>
      </c>
      <c r="B14" s="274">
        <f>IF($B$62=1,H$66-K$65,IF($B$62=2,H$67-K$66,IF($B$62=3,H$70-K$67,IF($B$62=4,H$71-K$70,IF($B$62=5,H$72-K$71,IF($B$62=6,H$73-K$72,IF($B$62=7,H$74-K$73)))))))</f>
        <v>0</v>
      </c>
      <c r="C14" s="274"/>
      <c r="D14" s="41"/>
      <c r="E14" s="275" t="s">
        <v>106</v>
      </c>
      <c r="F14" s="275"/>
      <c r="G14" s="199" t="str">
        <f ca="1">IF(TODAY()&gt;C13,"EM","")</f>
        <v>EM</v>
      </c>
      <c r="H14" s="199">
        <v>222</v>
      </c>
      <c r="I14" s="276" t="str">
        <f ca="1">IF(TODAY()&gt;C13,"DIAS EM RELAÇÃO AO CRONOGRAMA","")</f>
        <v>DIAS EM RELAÇÃO AO CRONOGRAMA</v>
      </c>
      <c r="J14" s="276"/>
      <c r="K14" s="277"/>
    </row>
    <row r="15" spans="1:19">
      <c r="D15" s="36"/>
    </row>
    <row r="16" spans="1:19">
      <c r="A16" s="280" t="s">
        <v>91</v>
      </c>
      <c r="B16" s="280"/>
      <c r="C16" s="280"/>
    </row>
    <row r="17" spans="1:11">
      <c r="A17" s="280"/>
      <c r="B17" s="280"/>
      <c r="C17" s="280"/>
    </row>
    <row r="18" spans="1:11">
      <c r="A18" s="280"/>
      <c r="B18" s="280"/>
      <c r="C18" s="280"/>
    </row>
    <row r="19" spans="1:11">
      <c r="A19" s="280"/>
      <c r="B19" s="280"/>
      <c r="C19" s="280"/>
    </row>
    <row r="20" spans="1:11">
      <c r="A20" s="280"/>
      <c r="B20" s="280"/>
      <c r="C20" s="280"/>
    </row>
    <row r="22" spans="1:11">
      <c r="A22" s="281" t="s">
        <v>139</v>
      </c>
      <c r="B22" s="281"/>
      <c r="C22" s="281"/>
      <c r="D22" s="281"/>
      <c r="E22" s="281"/>
      <c r="F22" s="281"/>
      <c r="G22" s="281"/>
    </row>
    <row r="23" spans="1:11">
      <c r="A23" s="75">
        <v>44018</v>
      </c>
      <c r="B23" s="293" t="s">
        <v>137</v>
      </c>
      <c r="C23" s="294"/>
      <c r="D23" s="294"/>
      <c r="E23" s="294"/>
      <c r="F23" s="294"/>
      <c r="G23" s="295"/>
    </row>
    <row r="24" spans="1:11">
      <c r="A24" s="75">
        <v>43977</v>
      </c>
      <c r="B24" s="296" t="s">
        <v>138</v>
      </c>
      <c r="C24" s="297"/>
      <c r="D24" s="297"/>
      <c r="E24" s="297"/>
      <c r="F24" s="297"/>
      <c r="G24" s="298"/>
    </row>
    <row r="25" spans="1:11">
      <c r="A25" s="75">
        <v>43977</v>
      </c>
      <c r="B25" s="247" t="s">
        <v>135</v>
      </c>
      <c r="C25" s="278"/>
      <c r="D25" s="278"/>
      <c r="E25" s="278"/>
      <c r="F25" s="278"/>
      <c r="G25" s="279"/>
    </row>
    <row r="26" spans="1:11">
      <c r="A26" s="75">
        <v>43803</v>
      </c>
      <c r="B26" s="247" t="s">
        <v>136</v>
      </c>
      <c r="C26" s="278"/>
      <c r="D26" s="278"/>
      <c r="E26" s="278"/>
      <c r="F26" s="278"/>
      <c r="G26" s="279"/>
    </row>
    <row r="27" spans="1:11">
      <c r="A27" s="75">
        <v>43735</v>
      </c>
      <c r="B27" s="247" t="s">
        <v>134</v>
      </c>
      <c r="C27" s="278"/>
      <c r="D27" s="278"/>
      <c r="E27" s="278"/>
      <c r="F27" s="278"/>
      <c r="G27" s="279"/>
    </row>
    <row r="28" spans="1:11">
      <c r="A28" s="207"/>
      <c r="B28" s="200"/>
      <c r="C28" s="201"/>
      <c r="D28" s="201"/>
      <c r="E28" s="201"/>
      <c r="F28" s="201"/>
      <c r="G28" s="201"/>
    </row>
    <row r="29" spans="1:11" s="206" customFormat="1"/>
    <row r="31" spans="1:11" ht="15.75" thickBot="1">
      <c r="A31" s="43" t="s">
        <v>2</v>
      </c>
      <c r="B31" s="299" t="s">
        <v>70</v>
      </c>
      <c r="C31" s="299"/>
      <c r="D31" s="45"/>
      <c r="E31" s="300" t="s">
        <v>71</v>
      </c>
      <c r="F31" s="300"/>
      <c r="G31" s="300"/>
      <c r="H31" s="300"/>
      <c r="I31" s="300"/>
      <c r="J31" s="300"/>
      <c r="K31" s="301"/>
    </row>
    <row r="32" spans="1:11" ht="16.5" thickBot="1">
      <c r="A32" s="48" t="s">
        <v>66</v>
      </c>
      <c r="B32" s="35">
        <v>6</v>
      </c>
      <c r="C32" s="42">
        <f>IF(B32=1,I35,IF(B32=2,I36,IF(B32=3,I37,IF(B32=4,I38,IF(B32=5,I39,IF(B32=6,I40))))))</f>
        <v>44036</v>
      </c>
      <c r="D32" s="51"/>
      <c r="E32" s="51"/>
      <c r="F32" s="50" t="s">
        <v>68</v>
      </c>
      <c r="G32" s="44">
        <f>IF(B32=1,K35-H35,IF(B32=2,K36-H36,IF(B32=3,K37-H37,IF(B32=4,K38-H38,IF(B32=5,K39-H39,IF(B32=6,K40-H40))))))</f>
        <v>0</v>
      </c>
      <c r="H32" s="282" t="str">
        <f>IF(G32&lt;=-0.0501,"EXECUÇÃO MUITO INFERIOR À PREVISÃO DE ACÚMULO PARA ESTE BM - SOLICITAR NOVO BM PARA LIBERAR PAGAMENTO",IF(G32&lt;0,"BM MENOR DO QUE O PREVISTO - MARGEM TOLERÁVEL - LIBERAR PAGAMENTO COM JUSTIFICATIVA",IF(G32&gt;=0,"BM DENTRO DO ACUMULADO PREVISTO - LIBERAR PAGAMENTO")))</f>
        <v>BM DENTRO DO ACUMULADO PREVISTO - LIBERAR PAGAMENTO</v>
      </c>
      <c r="I32" s="282"/>
      <c r="J32" s="282"/>
      <c r="K32" s="283"/>
    </row>
    <row r="33" spans="1:11" ht="15.75" thickBot="1">
      <c r="A33" s="37" t="s">
        <v>4</v>
      </c>
      <c r="B33" s="284" t="s">
        <v>72</v>
      </c>
      <c r="C33" s="284"/>
      <c r="D33" s="38"/>
      <c r="E33" s="285" t="s">
        <v>64</v>
      </c>
      <c r="F33" s="286"/>
      <c r="G33" s="286"/>
      <c r="H33" s="286"/>
      <c r="I33" s="287" t="s">
        <v>65</v>
      </c>
      <c r="J33" s="287"/>
      <c r="K33" s="288"/>
    </row>
    <row r="34" spans="1:11" ht="15.75" thickBot="1">
      <c r="A34" s="71" t="s">
        <v>86</v>
      </c>
      <c r="B34" s="289" t="s">
        <v>87</v>
      </c>
      <c r="C34" s="289"/>
      <c r="D34" s="38"/>
      <c r="E34" s="52" t="s">
        <v>58</v>
      </c>
      <c r="F34" s="53" t="s">
        <v>61</v>
      </c>
      <c r="G34" s="54" t="s">
        <v>59</v>
      </c>
      <c r="H34" s="54" t="s">
        <v>63</v>
      </c>
      <c r="I34" s="55" t="s">
        <v>60</v>
      </c>
      <c r="J34" s="55" t="s">
        <v>62</v>
      </c>
      <c r="K34" s="56" t="s">
        <v>63</v>
      </c>
    </row>
    <row r="35" spans="1:11" ht="15.75" thickBot="1">
      <c r="A35" s="72" t="s">
        <v>88</v>
      </c>
      <c r="B35" s="290">
        <v>308620</v>
      </c>
      <c r="C35" s="291"/>
      <c r="D35" s="38"/>
      <c r="E35" s="57">
        <v>1</v>
      </c>
      <c r="F35" s="58">
        <f>B39+30</f>
        <v>43601</v>
      </c>
      <c r="G35" s="59">
        <v>0.23949999999999999</v>
      </c>
      <c r="H35" s="59">
        <f>G35</f>
        <v>0.23949999999999999</v>
      </c>
      <c r="I35" s="60">
        <v>43607</v>
      </c>
      <c r="J35" s="61">
        <v>0.23949999999999999</v>
      </c>
      <c r="K35" s="63">
        <f>J35</f>
        <v>0.23949999999999999</v>
      </c>
    </row>
    <row r="36" spans="1:11" ht="15.75" thickBot="1">
      <c r="A36" s="39" t="s">
        <v>57</v>
      </c>
      <c r="B36" s="292" t="s">
        <v>73</v>
      </c>
      <c r="C36" s="292"/>
      <c r="D36" s="38"/>
      <c r="E36" s="57">
        <v>2</v>
      </c>
      <c r="F36" s="58">
        <f>F35+30</f>
        <v>43631</v>
      </c>
      <c r="G36" s="59">
        <v>0.1216</v>
      </c>
      <c r="H36" s="59">
        <f>H35+G36</f>
        <v>0.36109999999999998</v>
      </c>
      <c r="I36" s="60">
        <v>43678</v>
      </c>
      <c r="J36" s="61">
        <v>0.28849999999999998</v>
      </c>
      <c r="K36" s="63">
        <f>K35+J36</f>
        <v>0.52800000000000002</v>
      </c>
    </row>
    <row r="37" spans="1:11" ht="15.75" customHeight="1" thickBot="1">
      <c r="A37" s="76" t="s">
        <v>95</v>
      </c>
      <c r="B37" s="284">
        <v>180</v>
      </c>
      <c r="C37" s="284"/>
      <c r="D37" s="38"/>
      <c r="E37" s="57">
        <v>3</v>
      </c>
      <c r="F37" s="58">
        <f t="shared" ref="F37:F40" si="1">F36+30</f>
        <v>43661</v>
      </c>
      <c r="G37" s="59">
        <v>0.13070000000000001</v>
      </c>
      <c r="H37" s="59">
        <f>H36+G37</f>
        <v>0.49180000000000001</v>
      </c>
      <c r="I37" s="60">
        <v>43892</v>
      </c>
      <c r="J37" s="61">
        <v>6.5000000000000002E-2</v>
      </c>
      <c r="K37" s="63">
        <f>K36+J37</f>
        <v>0.59299999999999997</v>
      </c>
    </row>
    <row r="38" spans="1:11" ht="15.75" thickBot="1">
      <c r="A38" s="76" t="s">
        <v>96</v>
      </c>
      <c r="B38" s="284">
        <f>209+94</f>
        <v>303</v>
      </c>
      <c r="C38" s="284"/>
      <c r="D38" s="38"/>
      <c r="E38" s="57">
        <v>4</v>
      </c>
      <c r="F38" s="58">
        <f t="shared" si="1"/>
        <v>43691</v>
      </c>
      <c r="G38" s="59">
        <v>0.16320000000000001</v>
      </c>
      <c r="H38" s="59">
        <f t="shared" ref="H38:H40" si="2">H37+G38</f>
        <v>0.65500000000000003</v>
      </c>
      <c r="I38" s="60">
        <v>43979</v>
      </c>
      <c r="J38" s="61">
        <v>0.1203</v>
      </c>
      <c r="K38" s="63">
        <f t="shared" ref="K38:K40" si="3">K37+J38</f>
        <v>0.71329999999999993</v>
      </c>
    </row>
    <row r="39" spans="1:11" ht="15.75" thickBot="1">
      <c r="A39" s="39" t="s">
        <v>36</v>
      </c>
      <c r="B39" s="271">
        <v>43571</v>
      </c>
      <c r="C39" s="271"/>
      <c r="D39" s="38"/>
      <c r="E39" s="57">
        <v>5</v>
      </c>
      <c r="F39" s="58">
        <f t="shared" si="1"/>
        <v>43721</v>
      </c>
      <c r="G39" s="59">
        <v>0.1603</v>
      </c>
      <c r="H39" s="59">
        <f t="shared" si="2"/>
        <v>0.81530000000000002</v>
      </c>
      <c r="I39" s="60">
        <v>44025</v>
      </c>
      <c r="J39" s="61">
        <v>0.1018</v>
      </c>
      <c r="K39" s="63">
        <f t="shared" si="3"/>
        <v>0.81509999999999994</v>
      </c>
    </row>
    <row r="40" spans="1:11" ht="15.75" thickBot="1">
      <c r="A40" s="37" t="s">
        <v>69</v>
      </c>
      <c r="B40" s="272">
        <f>B39+B37+B38</f>
        <v>44054</v>
      </c>
      <c r="C40" s="272"/>
      <c r="D40" s="40"/>
      <c r="E40" s="57">
        <v>6</v>
      </c>
      <c r="F40" s="58">
        <f t="shared" si="1"/>
        <v>43751</v>
      </c>
      <c r="G40" s="59">
        <v>0.1847</v>
      </c>
      <c r="H40" s="59">
        <f t="shared" si="2"/>
        <v>1</v>
      </c>
      <c r="I40" s="79">
        <v>44036</v>
      </c>
      <c r="J40" s="61">
        <v>0.18490000000000001</v>
      </c>
      <c r="K40" s="63">
        <f t="shared" si="3"/>
        <v>1</v>
      </c>
    </row>
    <row r="41" spans="1:11">
      <c r="A41" s="39" t="s">
        <v>25</v>
      </c>
      <c r="B41" s="273">
        <f>IF(B32=1,K35,IF(B32=2,K36,IF(B32=3,K37,IF(B32=4,K38,IF(B32=5,K39,IF(B32=6,K40,))))))</f>
        <v>1</v>
      </c>
      <c r="C41" s="273"/>
      <c r="D41" s="38"/>
      <c r="E41" s="36"/>
      <c r="F41" s="36"/>
      <c r="G41" s="36"/>
      <c r="H41" s="36"/>
      <c r="I41" s="36"/>
      <c r="J41" s="36"/>
      <c r="K41" s="64"/>
    </row>
    <row r="42" spans="1:11">
      <c r="A42" s="73"/>
      <c r="B42" s="78"/>
      <c r="C42" s="78"/>
      <c r="D42" s="38"/>
      <c r="E42" s="36"/>
      <c r="F42" s="36"/>
      <c r="G42" s="36"/>
      <c r="H42" s="36"/>
      <c r="I42" s="36"/>
      <c r="J42" s="36"/>
      <c r="K42" s="64"/>
    </row>
    <row r="43" spans="1:11">
      <c r="A43" s="37" t="s">
        <v>67</v>
      </c>
      <c r="B43" s="46" t="b">
        <f>IF(B32=1,2,IF(B32=2,3,IF(B32=3,4,IF(B32=4,5,IF(B32=5,6)))))</f>
        <v>0</v>
      </c>
      <c r="C43" s="47" t="b">
        <f>IF(B32=1,F36,IF(B32=2,F37,IF(B32=3,F38,IF(B32=4,F39,IF(B32=5,F40)))))</f>
        <v>0</v>
      </c>
      <c r="D43" s="38"/>
      <c r="E43" s="36"/>
      <c r="F43" s="36"/>
      <c r="G43" s="36"/>
      <c r="H43" s="36"/>
      <c r="I43" s="36"/>
      <c r="J43" s="36"/>
      <c r="K43" s="64"/>
    </row>
    <row r="44" spans="1:11" ht="30">
      <c r="A44" s="65" t="s">
        <v>84</v>
      </c>
      <c r="B44" s="274">
        <f>IF($B$62=1,H$66-K$65,IF($B$62=2,H$67-K$66,IF($B$62=3,H$68-K$67,IF($B$62=4,H$69-K$68,IF($B$62=5,H$70-K$69,IF($B$62=6,H$73-K$70,IF($B$62=7,H$74-K$73)))))))</f>
        <v>-1</v>
      </c>
      <c r="C44" s="274"/>
      <c r="D44" s="41"/>
      <c r="E44" s="275" t="s">
        <v>106</v>
      </c>
      <c r="F44" s="275"/>
      <c r="G44" s="199" t="s">
        <v>163</v>
      </c>
      <c r="H44" s="199">
        <v>285</v>
      </c>
      <c r="I44" s="276" t="s">
        <v>162</v>
      </c>
      <c r="J44" s="276"/>
      <c r="K44" s="277"/>
    </row>
    <row r="45" spans="1:11">
      <c r="D45" s="36"/>
    </row>
    <row r="46" spans="1:11">
      <c r="A46" s="280" t="s">
        <v>89</v>
      </c>
      <c r="B46" s="280"/>
      <c r="C46" s="280"/>
    </row>
    <row r="47" spans="1:11">
      <c r="A47" s="280"/>
      <c r="B47" s="280"/>
      <c r="C47" s="280"/>
    </row>
    <row r="48" spans="1:11">
      <c r="A48" s="280"/>
      <c r="B48" s="280"/>
      <c r="C48" s="280"/>
    </row>
    <row r="49" spans="1:19">
      <c r="A49" s="280"/>
      <c r="B49" s="280"/>
      <c r="C49" s="280"/>
    </row>
    <row r="50" spans="1:19">
      <c r="A50" s="280"/>
      <c r="B50" s="280"/>
      <c r="C50" s="280"/>
    </row>
    <row r="52" spans="1:19">
      <c r="A52" s="281" t="s">
        <v>139</v>
      </c>
      <c r="B52" s="281"/>
      <c r="C52" s="281"/>
      <c r="D52" s="281"/>
      <c r="E52" s="281"/>
      <c r="F52" s="281"/>
      <c r="G52" s="281"/>
    </row>
    <row r="53" spans="1:19">
      <c r="A53" s="75">
        <v>43998</v>
      </c>
      <c r="B53" s="247" t="s">
        <v>141</v>
      </c>
      <c r="C53" s="278"/>
      <c r="D53" s="278"/>
      <c r="E53" s="278"/>
      <c r="F53" s="278"/>
      <c r="G53" s="279"/>
    </row>
    <row r="54" spans="1:19">
      <c r="A54" s="75">
        <v>43917</v>
      </c>
      <c r="B54" s="247" t="s">
        <v>140</v>
      </c>
      <c r="C54" s="278"/>
      <c r="D54" s="278"/>
      <c r="E54" s="278"/>
      <c r="F54" s="278"/>
      <c r="G54" s="279"/>
    </row>
    <row r="55" spans="1:19">
      <c r="A55" s="75">
        <v>43795</v>
      </c>
      <c r="B55" s="247" t="s">
        <v>143</v>
      </c>
      <c r="C55" s="278"/>
      <c r="D55" s="278"/>
      <c r="E55" s="278"/>
      <c r="F55" s="278"/>
      <c r="G55" s="279"/>
    </row>
    <row r="56" spans="1:19">
      <c r="A56" s="75">
        <v>43795</v>
      </c>
      <c r="B56" s="247" t="s">
        <v>142</v>
      </c>
      <c r="C56" s="278"/>
      <c r="D56" s="278"/>
      <c r="E56" s="278"/>
      <c r="F56" s="278"/>
      <c r="G56" s="279"/>
    </row>
    <row r="57" spans="1:19">
      <c r="A57" s="75">
        <v>43620</v>
      </c>
      <c r="B57" s="247" t="s">
        <v>144</v>
      </c>
      <c r="C57" s="278"/>
      <c r="D57" s="278"/>
      <c r="E57" s="278"/>
      <c r="F57" s="278"/>
      <c r="G57" s="279"/>
    </row>
    <row r="59" spans="1:19" s="206" customFormat="1"/>
    <row r="60" spans="1:19" s="208" customFormat="1"/>
    <row r="61" spans="1:19" ht="19.5" thickBot="1">
      <c r="A61" s="123" t="s">
        <v>98</v>
      </c>
      <c r="B61" s="326" t="s">
        <v>148</v>
      </c>
      <c r="C61" s="326"/>
      <c r="D61" s="45"/>
      <c r="E61" s="300" t="s">
        <v>149</v>
      </c>
      <c r="F61" s="300"/>
      <c r="G61" s="300"/>
      <c r="H61" s="300"/>
      <c r="I61" s="300"/>
      <c r="J61" s="300"/>
      <c r="K61" s="301"/>
      <c r="M61" s="306" t="s">
        <v>179</v>
      </c>
      <c r="N61" s="307"/>
      <c r="O61" s="307"/>
      <c r="P61" s="307"/>
      <c r="Q61" s="307"/>
      <c r="R61" s="308" t="str">
        <f>B61</f>
        <v>893.271/2019</v>
      </c>
      <c r="S61" s="309"/>
    </row>
    <row r="62" spans="1:19" ht="19.5" thickBot="1">
      <c r="A62" s="48" t="s">
        <v>66</v>
      </c>
      <c r="B62" s="35">
        <v>4</v>
      </c>
      <c r="C62" s="42">
        <f>IF(B62=1,I65,IF(B62=2,I66,IF(B62=3,I67,IF(B62=4,I68,IF(B62=5,I69,IF(B62=6,I70))))))</f>
        <v>44224</v>
      </c>
      <c r="D62" s="51"/>
      <c r="E62" s="51"/>
      <c r="F62" s="50" t="s">
        <v>68</v>
      </c>
      <c r="G62" s="44">
        <f>IF(B62=1,K65-H65,IF(B62=2,K66-H66,IF(B62=3,K67-H67,IF(B62=4,K68-H68,IF(B62=5,K69-H69,IF(B62=6,K70-H70,IF(B62=7,K71-H71,IF(B62=8,K72-H72))))))))</f>
        <v>0</v>
      </c>
      <c r="H62" s="282" t="str">
        <f>IF(G62&lt;=-0.0501,"EXECUÇÃO MUITO INFERIOR À PREVISÃO DE ACÚMULO PARA ESTE BM - SOLICITAR NOVO BM PARA LIBERAR PAGAMENTO",IF(G62&lt;0,"BM MENOR DO QUE O PREVISTO - MARGEM TOLERÁVEL - LIBERAR PAGAMENTO COM JUSTIFICATIVA",IF(G62&gt;=0,"BM DENTRO DO ACUMULADO PREVISTO - LIBERAR PAGAMENTO")))</f>
        <v>BM DENTRO DO ACUMULADO PREVISTO - LIBERAR PAGAMENTO</v>
      </c>
      <c r="I62" s="282"/>
      <c r="J62" s="282"/>
      <c r="K62" s="283"/>
      <c r="M62" s="125" t="s">
        <v>180</v>
      </c>
      <c r="N62" s="113" t="s">
        <v>181</v>
      </c>
      <c r="O62" s="113">
        <f>N64-S67</f>
        <v>24838.910000000003</v>
      </c>
      <c r="P62" s="114" t="s">
        <v>182</v>
      </c>
      <c r="Q62" s="127">
        <f>P64-S68</f>
        <v>0</v>
      </c>
      <c r="R62" s="128" t="s">
        <v>189</v>
      </c>
      <c r="S62" s="129">
        <f>O62+Q62</f>
        <v>24838.910000000003</v>
      </c>
    </row>
    <row r="63" spans="1:19" ht="15.75" thickBot="1">
      <c r="A63" s="37" t="s">
        <v>4</v>
      </c>
      <c r="B63" s="284" t="s">
        <v>151</v>
      </c>
      <c r="C63" s="284"/>
      <c r="D63" s="38"/>
      <c r="E63" s="285" t="s">
        <v>64</v>
      </c>
      <c r="F63" s="286"/>
      <c r="G63" s="286"/>
      <c r="H63" s="286"/>
      <c r="I63" s="287" t="s">
        <v>65</v>
      </c>
      <c r="J63" s="287"/>
      <c r="K63" s="288"/>
      <c r="M63" s="316" t="s">
        <v>183</v>
      </c>
      <c r="N63" s="317"/>
      <c r="O63" s="317"/>
      <c r="P63" s="318"/>
      <c r="Q63" s="319" t="s">
        <v>194</v>
      </c>
      <c r="R63" s="320"/>
      <c r="S63" s="130" t="s">
        <v>184</v>
      </c>
    </row>
    <row r="64" spans="1:19" ht="15.75" thickBot="1">
      <c r="A64" s="71" t="s">
        <v>86</v>
      </c>
      <c r="B64" s="289" t="s">
        <v>150</v>
      </c>
      <c r="C64" s="289"/>
      <c r="D64" s="38"/>
      <c r="E64" s="52" t="s">
        <v>58</v>
      </c>
      <c r="F64" s="53" t="s">
        <v>61</v>
      </c>
      <c r="G64" s="54" t="s">
        <v>59</v>
      </c>
      <c r="H64" s="54" t="s">
        <v>63</v>
      </c>
      <c r="I64" s="55" t="s">
        <v>60</v>
      </c>
      <c r="J64" s="55" t="s">
        <v>62</v>
      </c>
      <c r="K64" s="56" t="s">
        <v>63</v>
      </c>
      <c r="M64" s="131" t="s">
        <v>181</v>
      </c>
      <c r="N64" s="132">
        <f>SUM(N65:N68)</f>
        <v>253075</v>
      </c>
      <c r="O64" s="133" t="s">
        <v>182</v>
      </c>
      <c r="P64" s="134">
        <f>SUM(P65:P68)</f>
        <v>263.58999999999997</v>
      </c>
      <c r="Q64" s="135" t="s">
        <v>181</v>
      </c>
      <c r="R64" s="109">
        <v>253075</v>
      </c>
      <c r="S64" s="137">
        <f>R64-N64</f>
        <v>0</v>
      </c>
    </row>
    <row r="65" spans="1:19" ht="15.75" thickBot="1">
      <c r="A65" s="72" t="s">
        <v>88</v>
      </c>
      <c r="B65" s="290">
        <v>228499.68</v>
      </c>
      <c r="C65" s="291"/>
      <c r="D65" s="38"/>
      <c r="E65" s="57">
        <v>1</v>
      </c>
      <c r="F65" s="58">
        <f>B69+30</f>
        <v>44086</v>
      </c>
      <c r="G65" s="59">
        <v>0.1206</v>
      </c>
      <c r="H65" s="59">
        <f>G65</f>
        <v>0.1206</v>
      </c>
      <c r="I65" s="60">
        <v>44119</v>
      </c>
      <c r="J65" s="61">
        <v>0.14899999999999999</v>
      </c>
      <c r="K65" s="63">
        <f>J65</f>
        <v>0.14899999999999999</v>
      </c>
      <c r="M65" s="164">
        <v>44055</v>
      </c>
      <c r="N65" s="157">
        <v>50615</v>
      </c>
      <c r="O65" s="156">
        <v>44138</v>
      </c>
      <c r="P65" s="157">
        <v>263.58999999999997</v>
      </c>
      <c r="Q65" s="142" t="s">
        <v>182</v>
      </c>
      <c r="R65" s="109">
        <v>263.58999999999997</v>
      </c>
      <c r="S65" s="117">
        <f>R65-P64</f>
        <v>0</v>
      </c>
    </row>
    <row r="66" spans="1:19" ht="15.75" thickBot="1">
      <c r="A66" s="39" t="s">
        <v>57</v>
      </c>
      <c r="B66" s="329" t="s">
        <v>152</v>
      </c>
      <c r="C66" s="329"/>
      <c r="D66" s="38"/>
      <c r="E66" s="57">
        <v>2</v>
      </c>
      <c r="F66" s="58">
        <f>F65+30</f>
        <v>44116</v>
      </c>
      <c r="G66" s="59">
        <v>0.46650000000000003</v>
      </c>
      <c r="H66" s="59">
        <f>H65+G66</f>
        <v>0.58710000000000007</v>
      </c>
      <c r="I66" s="60">
        <v>44154</v>
      </c>
      <c r="J66" s="61">
        <v>0.57389999999999997</v>
      </c>
      <c r="K66" s="63">
        <f>K65+J66</f>
        <v>0.72289999999999999</v>
      </c>
      <c r="M66" s="164">
        <v>44158</v>
      </c>
      <c r="N66" s="157">
        <f>253075-N65</f>
        <v>202460</v>
      </c>
      <c r="O66" s="156"/>
      <c r="P66" s="157"/>
      <c r="Q66" s="143" t="s">
        <v>195</v>
      </c>
      <c r="R66" s="321" t="s">
        <v>185</v>
      </c>
      <c r="S66" s="322"/>
    </row>
    <row r="67" spans="1:19" ht="15.75" customHeight="1" thickBot="1">
      <c r="A67" s="76" t="s">
        <v>95</v>
      </c>
      <c r="B67" s="284">
        <v>120</v>
      </c>
      <c r="C67" s="284"/>
      <c r="D67" s="38"/>
      <c r="E67" s="57">
        <v>3</v>
      </c>
      <c r="F67" s="58">
        <f t="shared" ref="F67:F68" si="4">F66+30</f>
        <v>44146</v>
      </c>
      <c r="G67" s="59">
        <v>0.36</v>
      </c>
      <c r="H67" s="59">
        <f>H66+G67</f>
        <v>0.94710000000000005</v>
      </c>
      <c r="I67" s="60">
        <v>44182</v>
      </c>
      <c r="J67" s="61">
        <v>0.13769999999999999</v>
      </c>
      <c r="K67" s="63">
        <f>K66+J67</f>
        <v>0.86060000000000003</v>
      </c>
      <c r="M67" s="122"/>
      <c r="N67" s="124"/>
      <c r="O67" s="118"/>
      <c r="P67" s="119"/>
      <c r="Q67" s="323" t="s">
        <v>200</v>
      </c>
      <c r="R67" s="115" t="s">
        <v>181</v>
      </c>
      <c r="S67" s="139">
        <f>SUM(N72:N87)</f>
        <v>228236.09</v>
      </c>
    </row>
    <row r="68" spans="1:19" ht="15.75" thickBot="1">
      <c r="A68" s="76" t="s">
        <v>96</v>
      </c>
      <c r="B68" s="284">
        <v>60</v>
      </c>
      <c r="C68" s="284"/>
      <c r="D68" s="38"/>
      <c r="E68" s="57">
        <v>4</v>
      </c>
      <c r="F68" s="58">
        <f t="shared" si="4"/>
        <v>44176</v>
      </c>
      <c r="G68" s="59">
        <v>5.2900000000000003E-2</v>
      </c>
      <c r="H68" s="59">
        <f t="shared" ref="H68" si="5">H67+G68</f>
        <v>1</v>
      </c>
      <c r="I68" s="60">
        <v>44224</v>
      </c>
      <c r="J68" s="61">
        <v>0.1394</v>
      </c>
      <c r="K68" s="63">
        <f>K67+J68</f>
        <v>1</v>
      </c>
      <c r="M68" s="95"/>
      <c r="N68" s="93"/>
      <c r="O68" s="93"/>
      <c r="P68" s="93"/>
      <c r="Q68" s="324"/>
      <c r="R68" s="116" t="s">
        <v>182</v>
      </c>
      <c r="S68" s="140">
        <f>SUM(O72:O87)</f>
        <v>263.58999999999997</v>
      </c>
    </row>
    <row r="69" spans="1:19" ht="15.75" thickBot="1">
      <c r="A69" s="39" t="s">
        <v>36</v>
      </c>
      <c r="B69" s="271">
        <v>44056</v>
      </c>
      <c r="C69" s="271"/>
      <c r="D69" s="38"/>
      <c r="E69" s="57"/>
      <c r="F69" s="197">
        <f>F68</f>
        <v>44176</v>
      </c>
      <c r="G69" s="59"/>
      <c r="H69" s="59"/>
      <c r="I69" s="99"/>
      <c r="J69" s="59"/>
      <c r="K69" s="100"/>
      <c r="M69" s="95"/>
      <c r="N69" s="93"/>
      <c r="O69" s="93"/>
      <c r="P69" s="93"/>
      <c r="Q69" s="93"/>
      <c r="R69" s="93"/>
      <c r="S69" s="126"/>
    </row>
    <row r="70" spans="1:19" ht="15.75" thickBot="1">
      <c r="A70" s="37" t="s">
        <v>69</v>
      </c>
      <c r="B70" s="272">
        <f>B69+B67+B68</f>
        <v>44236</v>
      </c>
      <c r="C70" s="272"/>
      <c r="D70" s="40"/>
      <c r="E70" s="57"/>
      <c r="F70" s="58"/>
      <c r="G70" s="59"/>
      <c r="H70" s="59"/>
      <c r="I70" s="87"/>
      <c r="J70" s="59"/>
      <c r="K70" s="100"/>
      <c r="M70" s="310" t="s">
        <v>186</v>
      </c>
      <c r="N70" s="311"/>
      <c r="O70" s="311"/>
      <c r="P70" s="311"/>
      <c r="Q70" s="311"/>
      <c r="R70" s="311"/>
      <c r="S70" s="312"/>
    </row>
    <row r="71" spans="1:19" ht="15.75" thickBot="1">
      <c r="A71" s="39" t="s">
        <v>25</v>
      </c>
      <c r="B71" s="273">
        <f>IF(B62=1,K65,IF(B62=2,K66,IF(B62=3,K67,IF(B62=4,K68,IF(B62=5,K69,IF(B62=6,K70,IF(B62=7,K71,IF(B62=8,K72))))))))</f>
        <v>1</v>
      </c>
      <c r="C71" s="273"/>
      <c r="D71" s="38"/>
      <c r="E71" s="89"/>
      <c r="F71" s="90"/>
      <c r="G71" s="91"/>
      <c r="H71" s="91"/>
      <c r="I71" s="89"/>
      <c r="J71" s="90"/>
      <c r="K71" s="96"/>
      <c r="L71" s="36"/>
      <c r="M71" s="111" t="s">
        <v>187</v>
      </c>
      <c r="N71" s="110" t="s">
        <v>181</v>
      </c>
      <c r="O71" s="110" t="s">
        <v>182</v>
      </c>
      <c r="P71" s="110" t="s">
        <v>188</v>
      </c>
      <c r="Q71" s="110" t="s">
        <v>192</v>
      </c>
      <c r="R71" s="110" t="s">
        <v>190</v>
      </c>
      <c r="S71" s="121" t="s">
        <v>191</v>
      </c>
    </row>
    <row r="72" spans="1:19" ht="15.75" thickBot="1">
      <c r="A72" s="37" t="s">
        <v>202</v>
      </c>
      <c r="B72" s="187" t="s">
        <v>203</v>
      </c>
      <c r="C72" s="187" t="s">
        <v>205</v>
      </c>
      <c r="D72" s="38"/>
      <c r="E72" s="92"/>
      <c r="F72" s="90"/>
      <c r="G72" s="91"/>
      <c r="H72" s="91"/>
      <c r="I72" s="92"/>
      <c r="J72" s="90"/>
      <c r="K72" s="96"/>
      <c r="L72" s="36"/>
      <c r="M72" s="184">
        <v>44139</v>
      </c>
      <c r="N72" s="185">
        <v>33777.31</v>
      </c>
      <c r="O72" s="185">
        <v>263.58999999999997</v>
      </c>
      <c r="P72" s="120">
        <f t="shared" ref="P72:P86" si="6">N72+O72</f>
        <v>34040.899999999994</v>
      </c>
      <c r="Q72" s="93">
        <v>202026</v>
      </c>
      <c r="R72" s="151">
        <v>1</v>
      </c>
      <c r="S72" s="168" t="s">
        <v>198</v>
      </c>
    </row>
    <row r="73" spans="1:19">
      <c r="A73" s="95"/>
      <c r="B73" s="93"/>
      <c r="C73" s="93"/>
      <c r="D73" s="38"/>
      <c r="E73" s="93"/>
      <c r="F73" s="93"/>
      <c r="G73" s="93"/>
      <c r="H73" s="93"/>
      <c r="I73" s="93"/>
      <c r="J73" s="93"/>
      <c r="K73" s="94"/>
      <c r="M73" s="169">
        <v>44162</v>
      </c>
      <c r="N73" s="170">
        <v>131146.07</v>
      </c>
      <c r="O73" s="170">
        <v>0</v>
      </c>
      <c r="P73" s="171">
        <f t="shared" si="6"/>
        <v>131146.07</v>
      </c>
      <c r="Q73" s="175">
        <v>202034</v>
      </c>
      <c r="R73" s="173">
        <v>2</v>
      </c>
      <c r="S73" s="174" t="s">
        <v>198</v>
      </c>
    </row>
    <row r="74" spans="1:19">
      <c r="A74" s="37" t="s">
        <v>67</v>
      </c>
      <c r="B74" s="46" t="str">
        <f>IF(B$62=1,2,IF(B$62=2,3,IF(B$62=3,4,IF(B$62=4,"CONCLUÍDA",IF(B$62=5,6,IF(B$62=6,7,IF(B$62=7,8)))))))</f>
        <v>CONCLUÍDA</v>
      </c>
      <c r="C74" s="47" t="str">
        <f>IF(B$62=1,F$66,IF(B$62=2,F$67,IF(B$62=3,F$68,IF(B$62=4,"CONCLUÍDA",IF(B$62=5,F$70,IF(B$62=6,F$71,IF(B$62=7,F$72)))))))</f>
        <v>CONCLUÍDA</v>
      </c>
      <c r="D74" s="38"/>
      <c r="E74" s="93"/>
      <c r="F74" s="93"/>
      <c r="G74" s="93"/>
      <c r="H74" s="93"/>
      <c r="I74" s="93"/>
      <c r="J74" s="93"/>
      <c r="K74" s="94"/>
      <c r="M74" s="122">
        <v>44204</v>
      </c>
      <c r="N74" s="119">
        <v>31474.959999999999</v>
      </c>
      <c r="O74" s="119">
        <v>0</v>
      </c>
      <c r="P74" s="120">
        <f t="shared" si="6"/>
        <v>31474.959999999999</v>
      </c>
      <c r="Q74" s="93">
        <v>202046</v>
      </c>
      <c r="R74" s="151">
        <v>3</v>
      </c>
      <c r="S74" s="168" t="s">
        <v>197</v>
      </c>
    </row>
    <row r="75" spans="1:19" ht="30">
      <c r="A75" s="65" t="s">
        <v>84</v>
      </c>
      <c r="B75" s="274">
        <f>IF($B$62=1,H$66-K$65,IF($B$62=2,H$67-K$66,IF($B$62=3,H$68-K$67,IF($B$62=4,H$69-K$68,IF($B$62=5,H$70-K$69,IF($B$62=6,H$71-K$70,IF($B$62=7,H$72-K$71)))))))</f>
        <v>-1</v>
      </c>
      <c r="C75" s="274"/>
      <c r="D75" s="41"/>
      <c r="E75" s="305" t="str">
        <f ca="1">IF(TODAY()&gt;C74,"OBRA ATRASADA","")</f>
        <v/>
      </c>
      <c r="F75" s="305"/>
      <c r="G75" s="108" t="str">
        <f ca="1">IF(TODAY()&gt;C74,"EM","")</f>
        <v/>
      </c>
      <c r="H75" s="108" t="str">
        <f ca="1">IF(TODAY()&gt;C74,TODAY()-C74,"")</f>
        <v/>
      </c>
      <c r="I75" s="327" t="str">
        <f t="shared" ref="I75" ca="1" si="7">IF(TODAY()&gt;C74,"DIAS EM RELAÇÃO AO CRONOGRAMA","")</f>
        <v/>
      </c>
      <c r="J75" s="327"/>
      <c r="K75" s="328"/>
      <c r="M75" s="169">
        <v>44285</v>
      </c>
      <c r="N75" s="170">
        <f>61042.46-N74</f>
        <v>29567.5</v>
      </c>
      <c r="O75" s="170">
        <v>0</v>
      </c>
      <c r="P75" s="171">
        <f t="shared" si="6"/>
        <v>29567.5</v>
      </c>
      <c r="Q75" s="175">
        <v>202046</v>
      </c>
      <c r="R75" s="173">
        <v>3</v>
      </c>
      <c r="S75" s="174" t="s">
        <v>198</v>
      </c>
    </row>
    <row r="76" spans="1:19">
      <c r="A76" s="49"/>
      <c r="B76" s="36"/>
      <c r="C76" s="36"/>
      <c r="D76" s="36"/>
      <c r="E76" s="36"/>
      <c r="F76" s="36"/>
      <c r="G76" s="36"/>
      <c r="H76" s="36"/>
      <c r="I76" s="36"/>
      <c r="J76" s="36"/>
      <c r="K76" s="64"/>
      <c r="M76" s="122">
        <v>44285</v>
      </c>
      <c r="N76" s="119">
        <v>2270.25</v>
      </c>
      <c r="O76" s="119">
        <v>0</v>
      </c>
      <c r="P76" s="120">
        <f t="shared" si="6"/>
        <v>2270.25</v>
      </c>
      <c r="Q76" s="93">
        <v>202111</v>
      </c>
      <c r="R76" s="151">
        <v>4</v>
      </c>
      <c r="S76" s="168" t="s">
        <v>198</v>
      </c>
    </row>
    <row r="77" spans="1:19">
      <c r="A77" s="330" t="s">
        <v>153</v>
      </c>
      <c r="B77" s="331"/>
      <c r="C77" s="331"/>
      <c r="D77" s="36"/>
      <c r="E77" s="36"/>
      <c r="F77" s="36"/>
      <c r="G77" s="36"/>
      <c r="H77" s="36"/>
      <c r="I77" s="36"/>
      <c r="J77" s="36"/>
      <c r="K77" s="64"/>
      <c r="M77" s="169"/>
      <c r="N77" s="170"/>
      <c r="O77" s="170"/>
      <c r="P77" s="171">
        <f t="shared" si="6"/>
        <v>0</v>
      </c>
      <c r="Q77" s="175"/>
      <c r="R77" s="173"/>
      <c r="S77" s="176"/>
    </row>
    <row r="78" spans="1:19">
      <c r="A78" s="330"/>
      <c r="B78" s="331"/>
      <c r="C78" s="331"/>
      <c r="D78" s="36"/>
      <c r="E78" s="36"/>
      <c r="F78" s="36"/>
      <c r="G78" s="36"/>
      <c r="H78" s="36"/>
      <c r="I78" s="36"/>
      <c r="J78" s="36"/>
      <c r="K78" s="64"/>
      <c r="M78" s="122"/>
      <c r="N78" s="119"/>
      <c r="O78" s="119"/>
      <c r="P78" s="120">
        <f t="shared" si="6"/>
        <v>0</v>
      </c>
      <c r="Q78" s="93"/>
      <c r="R78" s="151"/>
      <c r="S78" s="94"/>
    </row>
    <row r="79" spans="1:19">
      <c r="A79" s="330"/>
      <c r="B79" s="331"/>
      <c r="C79" s="331"/>
      <c r="D79" s="36"/>
      <c r="E79" s="36"/>
      <c r="F79" s="36"/>
      <c r="G79" s="36"/>
      <c r="H79" s="36"/>
      <c r="I79" s="36"/>
      <c r="J79" s="36"/>
      <c r="K79" s="64"/>
      <c r="M79" s="169"/>
      <c r="N79" s="170"/>
      <c r="O79" s="170"/>
      <c r="P79" s="171">
        <f t="shared" si="6"/>
        <v>0</v>
      </c>
      <c r="Q79" s="175"/>
      <c r="R79" s="173"/>
      <c r="S79" s="176"/>
    </row>
    <row r="80" spans="1:19">
      <c r="A80" s="330"/>
      <c r="B80" s="331"/>
      <c r="C80" s="331"/>
      <c r="D80" s="36"/>
      <c r="E80" s="36"/>
      <c r="F80" s="36"/>
      <c r="G80" s="36"/>
      <c r="H80" s="36"/>
      <c r="I80" s="36"/>
      <c r="J80" s="36"/>
      <c r="K80" s="64"/>
      <c r="M80" s="95"/>
      <c r="N80" s="93"/>
      <c r="O80" s="93"/>
      <c r="P80" s="120">
        <f t="shared" si="6"/>
        <v>0</v>
      </c>
      <c r="Q80" s="93"/>
      <c r="R80" s="151"/>
      <c r="S80" s="94"/>
    </row>
    <row r="81" spans="1:19">
      <c r="A81" s="330"/>
      <c r="B81" s="331"/>
      <c r="C81" s="331"/>
      <c r="D81" s="36"/>
      <c r="E81" s="36"/>
      <c r="F81" s="36"/>
      <c r="G81" s="36"/>
      <c r="H81" s="36"/>
      <c r="I81" s="36"/>
      <c r="J81" s="36"/>
      <c r="K81" s="64"/>
      <c r="M81" s="177"/>
      <c r="N81" s="175"/>
      <c r="O81" s="175"/>
      <c r="P81" s="171">
        <f t="shared" si="6"/>
        <v>0</v>
      </c>
      <c r="Q81" s="175"/>
      <c r="R81" s="173"/>
      <c r="S81" s="176"/>
    </row>
    <row r="82" spans="1:19">
      <c r="A82" s="152"/>
      <c r="B82" s="153"/>
      <c r="C82" s="153"/>
      <c r="D82" s="36"/>
      <c r="E82" s="36"/>
      <c r="F82" s="36"/>
      <c r="G82" s="36"/>
      <c r="H82" s="36"/>
      <c r="I82" s="36"/>
      <c r="J82" s="36"/>
      <c r="K82" s="64"/>
      <c r="M82" s="95"/>
      <c r="N82" s="93"/>
      <c r="O82" s="93"/>
      <c r="P82" s="120">
        <f t="shared" si="6"/>
        <v>0</v>
      </c>
      <c r="Q82" s="93"/>
      <c r="R82" s="151"/>
      <c r="S82" s="94"/>
    </row>
    <row r="83" spans="1:19">
      <c r="A83" s="332"/>
      <c r="B83" s="333"/>
      <c r="C83" s="333"/>
      <c r="D83" s="333"/>
      <c r="E83" s="333"/>
      <c r="F83" s="333"/>
      <c r="G83" s="333"/>
      <c r="H83" s="36"/>
      <c r="I83" s="36"/>
      <c r="J83" s="36"/>
      <c r="K83" s="64"/>
      <c r="M83" s="177"/>
      <c r="N83" s="175"/>
      <c r="O83" s="175"/>
      <c r="P83" s="171">
        <f t="shared" si="6"/>
        <v>0</v>
      </c>
      <c r="Q83" s="175"/>
      <c r="R83" s="173"/>
      <c r="S83" s="176"/>
    </row>
    <row r="84" spans="1:19">
      <c r="A84" s="154"/>
      <c r="B84" s="186"/>
      <c r="C84" s="23"/>
      <c r="D84" s="23"/>
      <c r="E84" s="23"/>
      <c r="F84" s="23"/>
      <c r="G84" s="23"/>
      <c r="H84" s="36"/>
      <c r="I84" s="36"/>
      <c r="J84" s="36"/>
      <c r="K84" s="64"/>
      <c r="M84" s="95"/>
      <c r="N84" s="93"/>
      <c r="O84" s="93"/>
      <c r="P84" s="120">
        <f t="shared" si="6"/>
        <v>0</v>
      </c>
      <c r="Q84" s="93"/>
      <c r="R84" s="151"/>
      <c r="S84" s="94"/>
    </row>
    <row r="85" spans="1:19">
      <c r="A85" s="154"/>
      <c r="B85" s="334"/>
      <c r="C85" s="334"/>
      <c r="D85" s="334"/>
      <c r="E85" s="334"/>
      <c r="F85" s="334"/>
      <c r="G85" s="334"/>
      <c r="H85" s="36"/>
      <c r="I85" s="36"/>
      <c r="J85" s="36"/>
      <c r="K85" s="64"/>
      <c r="M85" s="177"/>
      <c r="N85" s="175"/>
      <c r="O85" s="175"/>
      <c r="P85" s="171">
        <f t="shared" si="6"/>
        <v>0</v>
      </c>
      <c r="Q85" s="175"/>
      <c r="R85" s="173"/>
      <c r="S85" s="176"/>
    </row>
    <row r="86" spans="1:19">
      <c r="A86" s="49"/>
      <c r="B86" s="36"/>
      <c r="C86" s="36"/>
      <c r="D86" s="36"/>
      <c r="E86" s="36"/>
      <c r="F86" s="36"/>
      <c r="G86" s="36"/>
      <c r="H86" s="36"/>
      <c r="I86" s="36"/>
      <c r="J86" s="36"/>
      <c r="K86" s="64"/>
      <c r="M86" s="95"/>
      <c r="N86" s="93"/>
      <c r="O86" s="93"/>
      <c r="P86" s="120">
        <f t="shared" si="6"/>
        <v>0</v>
      </c>
      <c r="Q86" s="93"/>
      <c r="R86" s="151"/>
      <c r="S86" s="94"/>
    </row>
    <row r="87" spans="1:19">
      <c r="A87" s="281" t="s">
        <v>169</v>
      </c>
      <c r="B87" s="281"/>
      <c r="C87" s="281"/>
      <c r="D87" s="281"/>
      <c r="E87" s="281"/>
      <c r="F87" s="281"/>
      <c r="G87" s="281"/>
      <c r="H87" s="281"/>
      <c r="I87" s="281"/>
      <c r="J87" s="281"/>
      <c r="K87" s="281"/>
      <c r="M87" s="313" t="s">
        <v>193</v>
      </c>
      <c r="N87" s="314"/>
      <c r="O87" s="314"/>
      <c r="P87" s="314"/>
      <c r="Q87" s="314"/>
      <c r="R87" s="315"/>
      <c r="S87" s="141">
        <f>SUM(P72:P86)</f>
        <v>228499.68</v>
      </c>
    </row>
    <row r="89" spans="1:19" s="206" customFormat="1"/>
    <row r="91" spans="1:19" ht="16.5" thickBot="1">
      <c r="A91" s="123" t="s">
        <v>2</v>
      </c>
      <c r="B91" s="325" t="s">
        <v>74</v>
      </c>
      <c r="C91" s="325"/>
      <c r="D91" s="45"/>
      <c r="E91" s="300" t="s">
        <v>75</v>
      </c>
      <c r="F91" s="300"/>
      <c r="G91" s="300"/>
      <c r="H91" s="300"/>
      <c r="I91" s="300"/>
      <c r="J91" s="300"/>
      <c r="K91" s="301"/>
    </row>
    <row r="92" spans="1:19" ht="26.25" customHeight="1" thickBot="1">
      <c r="A92" s="48" t="s">
        <v>66</v>
      </c>
      <c r="B92" s="35">
        <v>6</v>
      </c>
      <c r="C92" s="42">
        <f>IF(B92=1,I95,IF(B92=2,I96,IF(B92=3,I97,IF(B92=4,I98,IF(B92=5,I99,IF(B92=6,I100))))))</f>
        <v>43955</v>
      </c>
      <c r="D92" s="51"/>
      <c r="E92" s="51"/>
      <c r="F92" s="50" t="s">
        <v>68</v>
      </c>
      <c r="G92" s="44">
        <f>IF(B92=1,K95-H95,IF(B92=2,K96-H96,IF(B92=3,K97-H97,IF(B92=4,K98-H98,IF(B92=5,K99-H99,IF(B92=6,K100-H100))))))</f>
        <v>0</v>
      </c>
      <c r="H92" s="282" t="str">
        <f>IF(G92&lt;=-0.0501,"EXECUÇÃO MUITO INFERIOR À PREVISÃO DE ACÚMULO PARA ESTE BM - SOLICITAR NOVO BM PARA LIBERAR PAGAMENTO",IF(G92&lt;0,"BM MENOR DO QUE O PREVISTO - MARGEM TOLERÁVEL - LIBERAR PAGAMENTO COM JUSTIFICATIVA",IF(G92&gt;=0,"BM DENTRO DO ACUMULADO PREVISTO - LIBERAR PAGAMENTO")))</f>
        <v>BM DENTRO DO ACUMULADO PREVISTO - LIBERAR PAGAMENTO</v>
      </c>
      <c r="I92" s="282"/>
      <c r="J92" s="282"/>
      <c r="K92" s="283"/>
    </row>
    <row r="93" spans="1:19" ht="15.75" thickBot="1">
      <c r="A93" s="37" t="s">
        <v>4</v>
      </c>
      <c r="B93" s="284" t="s">
        <v>77</v>
      </c>
      <c r="C93" s="284"/>
      <c r="D93" s="38"/>
      <c r="E93" s="285" t="s">
        <v>64</v>
      </c>
      <c r="F93" s="286"/>
      <c r="G93" s="286"/>
      <c r="H93" s="286"/>
      <c r="I93" s="287" t="s">
        <v>65</v>
      </c>
      <c r="J93" s="287"/>
      <c r="K93" s="288"/>
    </row>
    <row r="94" spans="1:19" ht="15.75" thickBot="1">
      <c r="A94" s="71" t="s">
        <v>86</v>
      </c>
      <c r="B94" s="289" t="s">
        <v>92</v>
      </c>
      <c r="C94" s="289"/>
      <c r="D94" s="38"/>
      <c r="E94" s="52" t="s">
        <v>58</v>
      </c>
      <c r="F94" s="53" t="s">
        <v>61</v>
      </c>
      <c r="G94" s="54" t="s">
        <v>59</v>
      </c>
      <c r="H94" s="54" t="s">
        <v>63</v>
      </c>
      <c r="I94" s="55" t="s">
        <v>60</v>
      </c>
      <c r="J94" s="55" t="s">
        <v>62</v>
      </c>
      <c r="K94" s="56" t="s">
        <v>63</v>
      </c>
    </row>
    <row r="95" spans="1:19" ht="15.75" thickBot="1">
      <c r="A95" s="72" t="s">
        <v>88</v>
      </c>
      <c r="B95" s="290">
        <v>179816.9</v>
      </c>
      <c r="C95" s="291"/>
      <c r="D95" s="38"/>
      <c r="E95" s="57">
        <v>1</v>
      </c>
      <c r="F95" s="58">
        <f>B99+30</f>
        <v>43306</v>
      </c>
      <c r="G95" s="59">
        <v>0.13780000000000001</v>
      </c>
      <c r="H95" s="59">
        <f>G95</f>
        <v>0.13780000000000001</v>
      </c>
      <c r="I95" s="60">
        <v>43307</v>
      </c>
      <c r="J95" s="61">
        <v>6.2100000000000002E-2</v>
      </c>
      <c r="K95" s="63">
        <f>J95</f>
        <v>6.2100000000000002E-2</v>
      </c>
    </row>
    <row r="96" spans="1:19" ht="15.75" thickBot="1">
      <c r="A96" s="39" t="s">
        <v>57</v>
      </c>
      <c r="B96" s="292" t="s">
        <v>76</v>
      </c>
      <c r="C96" s="292"/>
      <c r="D96" s="38"/>
      <c r="E96" s="57">
        <v>2</v>
      </c>
      <c r="F96" s="58">
        <f>F95+30</f>
        <v>43336</v>
      </c>
      <c r="G96" s="59">
        <v>0.1052</v>
      </c>
      <c r="H96" s="59">
        <f>H95+G96</f>
        <v>0.24299999999999999</v>
      </c>
      <c r="I96" s="60">
        <v>43329</v>
      </c>
      <c r="J96" s="61">
        <v>0.19320000000000001</v>
      </c>
      <c r="K96" s="63">
        <f>K95+J96</f>
        <v>0.25530000000000003</v>
      </c>
    </row>
    <row r="97" spans="1:19" ht="30.75" thickBot="1">
      <c r="A97" s="76" t="s">
        <v>95</v>
      </c>
      <c r="B97" s="284">
        <v>150</v>
      </c>
      <c r="C97" s="284"/>
      <c r="D97" s="38"/>
      <c r="E97" s="57">
        <v>3</v>
      </c>
      <c r="F97" s="58">
        <f t="shared" ref="F97:F99" si="8">F96+30</f>
        <v>43366</v>
      </c>
      <c r="G97" s="59">
        <v>0.1865</v>
      </c>
      <c r="H97" s="59">
        <f>H96+G97</f>
        <v>0.42949999999999999</v>
      </c>
      <c r="I97" s="60">
        <v>43479</v>
      </c>
      <c r="J97" s="61">
        <v>0.1205</v>
      </c>
      <c r="K97" s="63">
        <f>K96+J97</f>
        <v>0.37580000000000002</v>
      </c>
      <c r="M97" s="306" t="s">
        <v>179</v>
      </c>
      <c r="N97" s="307"/>
      <c r="O97" s="307"/>
      <c r="P97" s="307"/>
      <c r="Q97" s="307"/>
      <c r="R97" s="308">
        <f>B97</f>
        <v>150</v>
      </c>
      <c r="S97" s="309"/>
    </row>
    <row r="98" spans="1:19" ht="19.5" thickBot="1">
      <c r="A98" s="76" t="s">
        <v>96</v>
      </c>
      <c r="B98" s="284">
        <f>511+30</f>
        <v>541</v>
      </c>
      <c r="C98" s="284"/>
      <c r="D98" s="38"/>
      <c r="E98" s="57">
        <v>4</v>
      </c>
      <c r="F98" s="58">
        <f t="shared" si="8"/>
        <v>43396</v>
      </c>
      <c r="G98" s="59">
        <v>0.25480000000000003</v>
      </c>
      <c r="H98" s="59">
        <f t="shared" ref="H98:H99" si="9">H97+G98</f>
        <v>0.68430000000000002</v>
      </c>
      <c r="I98" s="60">
        <v>43503</v>
      </c>
      <c r="J98" s="61">
        <v>0.16470000000000001</v>
      </c>
      <c r="K98" s="63">
        <f>K97+J98</f>
        <v>0.54049999999999998</v>
      </c>
      <c r="M98" s="125" t="s">
        <v>180</v>
      </c>
      <c r="N98" s="113" t="s">
        <v>181</v>
      </c>
      <c r="O98" s="113">
        <f>N100-S103</f>
        <v>21412.889999999985</v>
      </c>
      <c r="P98" s="114" t="s">
        <v>182</v>
      </c>
      <c r="Q98" s="127">
        <f>P100-S104</f>
        <v>0</v>
      </c>
      <c r="R98" s="128" t="s">
        <v>189</v>
      </c>
      <c r="S98" s="129">
        <f>O98+Q98</f>
        <v>21412.889999999985</v>
      </c>
    </row>
    <row r="99" spans="1:19" ht="15.75" thickBot="1">
      <c r="A99" s="39" t="s">
        <v>36</v>
      </c>
      <c r="B99" s="271">
        <v>43276</v>
      </c>
      <c r="C99" s="271"/>
      <c r="D99" s="38"/>
      <c r="E99" s="57">
        <v>5</v>
      </c>
      <c r="F99" s="58">
        <f t="shared" si="8"/>
        <v>43426</v>
      </c>
      <c r="G99" s="59">
        <v>0.31569999999999998</v>
      </c>
      <c r="H99" s="59">
        <f t="shared" si="9"/>
        <v>1</v>
      </c>
      <c r="I99" s="60">
        <v>43859</v>
      </c>
      <c r="J99" s="61">
        <v>9.9099999999999994E-2</v>
      </c>
      <c r="K99" s="63">
        <v>0.63439999999999996</v>
      </c>
      <c r="M99" s="316" t="s">
        <v>183</v>
      </c>
      <c r="N99" s="317"/>
      <c r="O99" s="317"/>
      <c r="P99" s="318"/>
      <c r="Q99" s="319" t="s">
        <v>194</v>
      </c>
      <c r="R99" s="320"/>
      <c r="S99" s="130" t="s">
        <v>184</v>
      </c>
    </row>
    <row r="100" spans="1:19" ht="15.75" thickBot="1">
      <c r="A100" s="37" t="s">
        <v>69</v>
      </c>
      <c r="B100" s="272">
        <f>B99+B97+B98</f>
        <v>43967</v>
      </c>
      <c r="C100" s="272"/>
      <c r="D100" s="40"/>
      <c r="E100" s="57">
        <v>6</v>
      </c>
      <c r="F100" s="58">
        <v>43965</v>
      </c>
      <c r="G100" s="80">
        <v>0.22950000000000001</v>
      </c>
      <c r="H100" s="59">
        <v>1</v>
      </c>
      <c r="I100" s="79">
        <v>43955</v>
      </c>
      <c r="J100" s="61">
        <v>0.22589999999999999</v>
      </c>
      <c r="K100" s="81">
        <v>1</v>
      </c>
      <c r="M100" s="131" t="s">
        <v>181</v>
      </c>
      <c r="N100" s="132">
        <f>SUM(N101:N104)</f>
        <v>243750</v>
      </c>
      <c r="O100" s="133" t="s">
        <v>182</v>
      </c>
      <c r="P100" s="134">
        <f>SUM(P101:P104)</f>
        <v>244</v>
      </c>
      <c r="Q100" s="135" t="s">
        <v>181</v>
      </c>
      <c r="R100" s="109">
        <v>243750</v>
      </c>
      <c r="S100" s="137">
        <f>R100-N100</f>
        <v>0</v>
      </c>
    </row>
    <row r="101" spans="1:19">
      <c r="A101" s="39" t="s">
        <v>25</v>
      </c>
      <c r="B101" s="273">
        <f>IF(B92=1,K95,IF(B92=2,K96,IF(B92=3,K97,IF(B92=4,K98,IF(B92=5,K99,IF(B92=6,K100,))))))</f>
        <v>1</v>
      </c>
      <c r="C101" s="273"/>
      <c r="D101" s="38"/>
      <c r="E101" s="36"/>
      <c r="F101" s="36"/>
      <c r="G101" s="36"/>
      <c r="H101" s="36"/>
      <c r="I101" s="36"/>
      <c r="J101" s="36"/>
      <c r="K101" s="64"/>
      <c r="M101" s="164">
        <v>43192</v>
      </c>
      <c r="N101" s="157">
        <v>121875</v>
      </c>
      <c r="O101" s="156">
        <v>43321</v>
      </c>
      <c r="P101" s="157">
        <v>244</v>
      </c>
      <c r="Q101" s="142" t="s">
        <v>182</v>
      </c>
      <c r="R101" s="109">
        <v>244</v>
      </c>
      <c r="S101" s="117">
        <f>R101-P100</f>
        <v>0</v>
      </c>
    </row>
    <row r="102" spans="1:19">
      <c r="A102" s="70"/>
      <c r="B102" s="70"/>
      <c r="C102" s="70"/>
      <c r="D102" s="38"/>
      <c r="E102" s="36"/>
      <c r="F102" s="36"/>
      <c r="G102" s="335">
        <v>0.8639</v>
      </c>
      <c r="H102" s="336" t="s">
        <v>105</v>
      </c>
      <c r="I102" s="336"/>
      <c r="J102" s="336"/>
      <c r="K102" s="336"/>
      <c r="M102" s="164">
        <v>43487</v>
      </c>
      <c r="N102" s="157">
        <v>73125</v>
      </c>
      <c r="O102" s="156"/>
      <c r="P102" s="157"/>
      <c r="Q102" s="143" t="s">
        <v>195</v>
      </c>
      <c r="R102" s="321" t="s">
        <v>185</v>
      </c>
      <c r="S102" s="322"/>
    </row>
    <row r="103" spans="1:19">
      <c r="A103" s="37" t="s">
        <v>67</v>
      </c>
      <c r="B103" s="46"/>
      <c r="C103" s="231">
        <v>43426</v>
      </c>
      <c r="D103" s="38"/>
      <c r="E103" s="36"/>
      <c r="F103" s="36"/>
      <c r="G103" s="335"/>
      <c r="H103" s="336"/>
      <c r="I103" s="336"/>
      <c r="J103" s="336"/>
      <c r="K103" s="336"/>
      <c r="M103" s="164">
        <v>43621</v>
      </c>
      <c r="N103" s="157">
        <v>48750</v>
      </c>
      <c r="O103" s="156"/>
      <c r="P103" s="157"/>
      <c r="Q103" s="338" t="s">
        <v>201</v>
      </c>
      <c r="R103" s="115" t="s">
        <v>181</v>
      </c>
      <c r="S103" s="139">
        <f>SUM(N108:N123)</f>
        <v>222337.11000000002</v>
      </c>
    </row>
    <row r="104" spans="1:19" ht="30">
      <c r="A104" s="65" t="s">
        <v>84</v>
      </c>
      <c r="B104" s="274">
        <f>H99-K99</f>
        <v>0.36560000000000004</v>
      </c>
      <c r="C104" s="274"/>
      <c r="D104" s="41"/>
      <c r="E104" s="276" t="s">
        <v>106</v>
      </c>
      <c r="F104" s="276"/>
      <c r="G104" s="230" t="str">
        <f ca="1">IF(TODAY()&gt;C103,"EM","")</f>
        <v>EM</v>
      </c>
      <c r="H104" s="230">
        <f>B98</f>
        <v>541</v>
      </c>
      <c r="I104" s="276" t="str">
        <f t="shared" ref="I104" ca="1" si="10">IF(TODAY()&gt;C103,"DIAS EM RELAÇÃO AO CRONOGRAMA","")</f>
        <v>DIAS EM RELAÇÃO AO CRONOGRAMA</v>
      </c>
      <c r="J104" s="276"/>
      <c r="K104" s="277"/>
      <c r="M104" s="95"/>
      <c r="N104" s="93"/>
      <c r="O104" s="93"/>
      <c r="P104" s="93"/>
      <c r="Q104" s="339"/>
      <c r="R104" s="116" t="s">
        <v>182</v>
      </c>
      <c r="S104" s="140">
        <f>SUM(O108:O123)</f>
        <v>244</v>
      </c>
    </row>
    <row r="105" spans="1:19">
      <c r="D105" s="36"/>
      <c r="M105" s="95"/>
      <c r="N105" s="93"/>
      <c r="O105" s="93"/>
      <c r="P105" s="93"/>
      <c r="Q105" s="93"/>
      <c r="R105" s="93"/>
      <c r="S105" s="126"/>
    </row>
    <row r="106" spans="1:19">
      <c r="A106" s="280" t="s">
        <v>93</v>
      </c>
      <c r="B106" s="280"/>
      <c r="C106" s="280"/>
      <c r="M106" s="310" t="s">
        <v>186</v>
      </c>
      <c r="N106" s="311"/>
      <c r="O106" s="311"/>
      <c r="P106" s="311"/>
      <c r="Q106" s="311"/>
      <c r="R106" s="311"/>
      <c r="S106" s="312"/>
    </row>
    <row r="107" spans="1:19">
      <c r="A107" s="280"/>
      <c r="B107" s="280"/>
      <c r="C107" s="280"/>
      <c r="M107" s="111" t="s">
        <v>187</v>
      </c>
      <c r="N107" s="110" t="s">
        <v>181</v>
      </c>
      <c r="O107" s="110" t="s">
        <v>182</v>
      </c>
      <c r="P107" s="110" t="s">
        <v>188</v>
      </c>
      <c r="Q107" s="110" t="s">
        <v>192</v>
      </c>
      <c r="R107" s="110" t="s">
        <v>190</v>
      </c>
      <c r="S107" s="121" t="s">
        <v>191</v>
      </c>
    </row>
    <row r="108" spans="1:19">
      <c r="A108" s="280"/>
      <c r="B108" s="280"/>
      <c r="C108" s="280"/>
      <c r="M108" s="158">
        <v>43326</v>
      </c>
      <c r="N108" s="159">
        <v>10917.68</v>
      </c>
      <c r="O108" s="159">
        <v>244</v>
      </c>
      <c r="P108" s="120">
        <f t="shared" ref="P108:P122" si="11">N108+O108</f>
        <v>11161.68</v>
      </c>
      <c r="Q108" s="93">
        <v>201818</v>
      </c>
      <c r="R108" s="151"/>
      <c r="S108" s="168"/>
    </row>
    <row r="109" spans="1:19">
      <c r="A109" s="280"/>
      <c r="B109" s="280"/>
      <c r="C109" s="280"/>
      <c r="H109" s="165"/>
      <c r="M109" s="178">
        <v>43353</v>
      </c>
      <c r="N109" s="179">
        <v>34744.32</v>
      </c>
      <c r="O109" s="180">
        <v>0</v>
      </c>
      <c r="P109" s="171">
        <f t="shared" si="11"/>
        <v>34744.32</v>
      </c>
      <c r="Q109" s="175">
        <v>201819</v>
      </c>
      <c r="R109" s="173"/>
      <c r="S109" s="174"/>
    </row>
    <row r="110" spans="1:19">
      <c r="A110" s="280"/>
      <c r="B110" s="280"/>
      <c r="C110" s="280"/>
      <c r="M110" s="160">
        <v>43488</v>
      </c>
      <c r="N110" s="161">
        <v>21660</v>
      </c>
      <c r="O110" s="159">
        <v>0</v>
      </c>
      <c r="P110" s="120">
        <f t="shared" si="11"/>
        <v>21660</v>
      </c>
      <c r="Q110" s="93">
        <v>201822</v>
      </c>
      <c r="R110" s="93"/>
      <c r="S110" s="94"/>
    </row>
    <row r="111" spans="1:19">
      <c r="M111" s="178">
        <v>43538</v>
      </c>
      <c r="N111" s="179">
        <v>28696.14</v>
      </c>
      <c r="O111" s="180">
        <v>0</v>
      </c>
      <c r="P111" s="171">
        <f t="shared" si="11"/>
        <v>28696.14</v>
      </c>
      <c r="Q111" s="175">
        <v>20194</v>
      </c>
      <c r="R111" s="175"/>
      <c r="S111" s="176"/>
    </row>
    <row r="112" spans="1:19" ht="16.5" thickBot="1">
      <c r="A112" s="123" t="s">
        <v>2</v>
      </c>
      <c r="B112" s="325" t="s">
        <v>74</v>
      </c>
      <c r="C112" s="325"/>
      <c r="D112" s="45"/>
      <c r="E112" s="300" t="s">
        <v>164</v>
      </c>
      <c r="F112" s="300"/>
      <c r="G112" s="300"/>
      <c r="H112" s="300"/>
      <c r="I112" s="300"/>
      <c r="J112" s="300"/>
      <c r="K112" s="301"/>
      <c r="M112" s="160">
        <v>43871</v>
      </c>
      <c r="N112" s="161">
        <v>17815.740000000002</v>
      </c>
      <c r="O112" s="159">
        <v>0</v>
      </c>
      <c r="P112" s="120">
        <f t="shared" si="11"/>
        <v>17815.740000000002</v>
      </c>
      <c r="Q112" s="93">
        <v>201950</v>
      </c>
      <c r="R112" s="93"/>
      <c r="S112" s="94"/>
    </row>
    <row r="113" spans="1:19" ht="27.75" customHeight="1" thickBot="1">
      <c r="A113" s="48" t="s">
        <v>66</v>
      </c>
      <c r="B113" s="35">
        <v>1</v>
      </c>
      <c r="C113" s="42">
        <f>IF(B113=1,I116,IF(B113=2,I117,IF(B113=3,I118,IF(B113=4,I119,IF(B113=5,I120,IF(B113=6,I121))))))</f>
        <v>44294</v>
      </c>
      <c r="D113" s="51"/>
      <c r="E113" s="51"/>
      <c r="F113" s="50" t="s">
        <v>68</v>
      </c>
      <c r="G113" s="44">
        <f>IF(B113=1,K116-H116,IF(B113=2,K117-H117,IF(B113=3,K118-H118,IF(B113=4,K119-H119,IF(B113=5,K120-H120,IF(B113=6,K121-H121))))))</f>
        <v>0</v>
      </c>
      <c r="H113" s="282" t="str">
        <f>IF(G113&lt;=-0.0501,"EXECUÇÃO MUITO INFERIOR À PREVISÃO DE ACÚMULO PARA ESTE BM - SOLICITAR NOVO BM PARA LIBERAR PAGAMENTO",IF(G113&lt;0,"BM MENOR DO QUE O PREVISTO - MARGEM TOLERÁVEL - LIBERAR PAGAMENTO COM JUSTIFICATIVA",IF(G113&gt;=0,"BM DENTRO DO ACUMULADO PREVISTO - LIBERAR PAGAMENTO")))</f>
        <v>BM DENTRO DO ACUMULADO PREVISTO - LIBERAR PAGAMENTO</v>
      </c>
      <c r="I113" s="282"/>
      <c r="J113" s="282"/>
      <c r="K113" s="283"/>
      <c r="M113" s="178">
        <v>43978</v>
      </c>
      <c r="N113" s="179">
        <v>40627.57</v>
      </c>
      <c r="O113" s="180">
        <v>0</v>
      </c>
      <c r="P113" s="171">
        <f t="shared" si="11"/>
        <v>40627.57</v>
      </c>
      <c r="Q113" s="175">
        <v>202012</v>
      </c>
      <c r="R113" s="175"/>
      <c r="S113" s="176"/>
    </row>
    <row r="114" spans="1:19" ht="15.75" thickBot="1">
      <c r="A114" s="37" t="s">
        <v>210</v>
      </c>
      <c r="B114" s="192" t="s">
        <v>207</v>
      </c>
      <c r="C114" s="193">
        <v>44297</v>
      </c>
      <c r="D114" s="38"/>
      <c r="E114" s="285" t="s">
        <v>64</v>
      </c>
      <c r="F114" s="286"/>
      <c r="G114" s="286"/>
      <c r="H114" s="286"/>
      <c r="I114" s="287" t="s">
        <v>65</v>
      </c>
      <c r="J114" s="287"/>
      <c r="K114" s="288"/>
      <c r="M114" s="160">
        <v>43979</v>
      </c>
      <c r="N114" s="161">
        <v>915.23</v>
      </c>
      <c r="O114" s="159">
        <v>0</v>
      </c>
      <c r="P114" s="120">
        <f t="shared" si="11"/>
        <v>915.23</v>
      </c>
      <c r="Q114" s="93">
        <v>20194</v>
      </c>
      <c r="R114" s="93"/>
      <c r="S114" s="94"/>
    </row>
    <row r="115" spans="1:19" ht="15.75" thickBot="1">
      <c r="A115" s="39" t="s">
        <v>211</v>
      </c>
      <c r="B115" s="194"/>
      <c r="C115" s="229"/>
      <c r="D115" s="38"/>
      <c r="E115" s="52" t="s">
        <v>58</v>
      </c>
      <c r="F115" s="53" t="s">
        <v>61</v>
      </c>
      <c r="G115" s="54" t="s">
        <v>59</v>
      </c>
      <c r="H115" s="54" t="s">
        <v>63</v>
      </c>
      <c r="I115" s="55" t="s">
        <v>60</v>
      </c>
      <c r="J115" s="55" t="s">
        <v>62</v>
      </c>
      <c r="K115" s="56" t="s">
        <v>63</v>
      </c>
      <c r="M115" s="169">
        <v>44337</v>
      </c>
      <c r="N115" s="170">
        <v>66960.429999999993</v>
      </c>
      <c r="O115" s="170">
        <v>0</v>
      </c>
      <c r="P115" s="171">
        <f t="shared" si="11"/>
        <v>66960.429999999993</v>
      </c>
      <c r="Q115" s="175">
        <v>6314</v>
      </c>
      <c r="R115" s="175"/>
      <c r="S115" s="176" t="s">
        <v>198</v>
      </c>
    </row>
    <row r="116" spans="1:19" ht="15.75" thickBot="1">
      <c r="A116" s="72" t="s">
        <v>86</v>
      </c>
      <c r="B116" s="291" t="s">
        <v>208</v>
      </c>
      <c r="C116" s="291"/>
      <c r="D116" s="38"/>
      <c r="E116" s="57">
        <v>1</v>
      </c>
      <c r="F116" s="58">
        <f>B121+30</f>
        <v>44295</v>
      </c>
      <c r="G116" s="59">
        <v>1</v>
      </c>
      <c r="H116" s="59">
        <f>G116</f>
        <v>1</v>
      </c>
      <c r="I116" s="60">
        <v>44294</v>
      </c>
      <c r="J116" s="61">
        <v>1</v>
      </c>
      <c r="K116" s="63">
        <f>J116</f>
        <v>1</v>
      </c>
      <c r="M116" s="95"/>
      <c r="N116" s="93"/>
      <c r="O116" s="93"/>
      <c r="P116" s="120">
        <f t="shared" si="11"/>
        <v>0</v>
      </c>
      <c r="Q116" s="93"/>
      <c r="R116" s="93"/>
      <c r="S116" s="94"/>
    </row>
    <row r="117" spans="1:19" ht="15.75" thickBot="1">
      <c r="A117" s="71" t="s">
        <v>88</v>
      </c>
      <c r="B117" s="337">
        <v>66960.429999999993</v>
      </c>
      <c r="C117" s="337"/>
      <c r="D117" s="38"/>
      <c r="E117" s="57"/>
      <c r="F117" s="58"/>
      <c r="G117" s="59"/>
      <c r="H117" s="59"/>
      <c r="I117" s="60"/>
      <c r="J117" s="61"/>
      <c r="K117" s="63"/>
      <c r="M117" s="177"/>
      <c r="N117" s="175"/>
      <c r="O117" s="175"/>
      <c r="P117" s="171">
        <f t="shared" si="11"/>
        <v>0</v>
      </c>
      <c r="Q117" s="175"/>
      <c r="R117" s="175"/>
      <c r="S117" s="176"/>
    </row>
    <row r="118" spans="1:19" ht="15.75" thickBot="1">
      <c r="A118" s="37" t="s">
        <v>57</v>
      </c>
      <c r="B118" s="344" t="s">
        <v>213</v>
      </c>
      <c r="C118" s="344"/>
      <c r="D118" s="38"/>
      <c r="E118" s="57"/>
      <c r="F118" s="58"/>
      <c r="G118" s="59"/>
      <c r="H118" s="59"/>
      <c r="I118" s="60"/>
      <c r="J118" s="61"/>
      <c r="K118" s="63"/>
      <c r="M118" s="95"/>
      <c r="N118" s="93"/>
      <c r="O118" s="93"/>
      <c r="P118" s="120">
        <f t="shared" si="11"/>
        <v>0</v>
      </c>
      <c r="Q118" s="93"/>
      <c r="R118" s="93"/>
      <c r="S118" s="94"/>
    </row>
    <row r="119" spans="1:19" ht="30.75" thickBot="1">
      <c r="A119" s="209" t="s">
        <v>95</v>
      </c>
      <c r="B119" s="303">
        <v>30</v>
      </c>
      <c r="C119" s="303"/>
      <c r="D119" s="38"/>
      <c r="E119" s="57"/>
      <c r="F119" s="58"/>
      <c r="G119" s="59"/>
      <c r="H119" s="59"/>
      <c r="I119" s="60"/>
      <c r="J119" s="61"/>
      <c r="K119" s="63"/>
      <c r="M119" s="177"/>
      <c r="N119" s="175"/>
      <c r="O119" s="175"/>
      <c r="P119" s="171">
        <f t="shared" si="11"/>
        <v>0</v>
      </c>
      <c r="Q119" s="175"/>
      <c r="R119" s="175"/>
      <c r="S119" s="176"/>
    </row>
    <row r="120" spans="1:19" ht="15.75" thickBot="1">
      <c r="A120" s="76" t="s">
        <v>96</v>
      </c>
      <c r="B120" s="284"/>
      <c r="C120" s="284"/>
      <c r="D120" s="38"/>
      <c r="E120" s="57"/>
      <c r="F120" s="58"/>
      <c r="G120" s="59"/>
      <c r="H120" s="59"/>
      <c r="I120" s="60"/>
      <c r="J120" s="61"/>
      <c r="K120" s="63"/>
      <c r="M120" s="95"/>
      <c r="N120" s="93"/>
      <c r="O120" s="93"/>
      <c r="P120" s="120">
        <f t="shared" si="11"/>
        <v>0</v>
      </c>
      <c r="Q120" s="93"/>
      <c r="R120" s="93"/>
      <c r="S120" s="94"/>
    </row>
    <row r="121" spans="1:19" ht="15.75" thickBot="1">
      <c r="A121" s="39" t="s">
        <v>36</v>
      </c>
      <c r="B121" s="271">
        <v>44265</v>
      </c>
      <c r="C121" s="271"/>
      <c r="D121" s="40"/>
      <c r="E121" s="101"/>
      <c r="F121" s="102"/>
      <c r="G121" s="103"/>
      <c r="H121" s="103"/>
      <c r="I121" s="79"/>
      <c r="J121" s="104"/>
      <c r="K121" s="63"/>
      <c r="M121" s="177"/>
      <c r="N121" s="175"/>
      <c r="O121" s="175"/>
      <c r="P121" s="171">
        <f t="shared" si="11"/>
        <v>0</v>
      </c>
      <c r="Q121" s="175"/>
      <c r="R121" s="175"/>
      <c r="S121" s="176"/>
    </row>
    <row r="122" spans="1:19">
      <c r="A122" s="37" t="s">
        <v>69</v>
      </c>
      <c r="B122" s="272">
        <f>B121+B119+B120</f>
        <v>44295</v>
      </c>
      <c r="C122" s="272"/>
      <c r="D122" s="38"/>
      <c r="E122" s="36"/>
      <c r="F122" s="36"/>
      <c r="G122" s="36"/>
      <c r="H122" s="36"/>
      <c r="I122" s="36"/>
      <c r="J122" s="36"/>
      <c r="K122" s="64"/>
      <c r="M122" s="95"/>
      <c r="N122" s="93"/>
      <c r="O122" s="93"/>
      <c r="P122" s="120">
        <f t="shared" si="11"/>
        <v>0</v>
      </c>
      <c r="Q122" s="93"/>
      <c r="R122" s="93"/>
      <c r="S122" s="94"/>
    </row>
    <row r="123" spans="1:19">
      <c r="A123" s="39" t="s">
        <v>25</v>
      </c>
      <c r="B123" s="273">
        <f>IF(B113=1,K116,IF(B113=2,K117,IF(B113=3,K118,IF(B113=4,K119,IF(B113=5,K120,IF(B113=6,K121,))))))</f>
        <v>1</v>
      </c>
      <c r="C123" s="273"/>
      <c r="D123" s="38"/>
      <c r="E123" s="36"/>
      <c r="F123" s="36"/>
      <c r="G123" s="340"/>
      <c r="H123" s="341"/>
      <c r="I123" s="341"/>
      <c r="J123" s="341"/>
      <c r="K123" s="342"/>
      <c r="M123" s="313" t="s">
        <v>193</v>
      </c>
      <c r="N123" s="314"/>
      <c r="O123" s="314"/>
      <c r="P123" s="314"/>
      <c r="Q123" s="314"/>
      <c r="R123" s="315"/>
      <c r="S123" s="141">
        <f>SUM(P108:P122)</f>
        <v>222581.11000000002</v>
      </c>
    </row>
    <row r="124" spans="1:19">
      <c r="A124" s="37" t="s">
        <v>67</v>
      </c>
      <c r="B124" s="343">
        <f>IF(B$2=1,F$6,IF(B$2=2,F$7,IF(B$2=3,F$8,IF(B$2=4,F$9,IF(B$2=5,F$10,IF(B$2=6,F$11,IF(B$2=7,F$12)))))))</f>
        <v>0</v>
      </c>
      <c r="C124" s="343"/>
      <c r="D124" s="38"/>
      <c r="E124" s="36"/>
      <c r="F124" s="36"/>
      <c r="G124" s="340"/>
      <c r="H124" s="341"/>
      <c r="I124" s="341"/>
      <c r="J124" s="341"/>
      <c r="K124" s="342"/>
    </row>
    <row r="125" spans="1:19" ht="30">
      <c r="A125" s="65" t="s">
        <v>84</v>
      </c>
      <c r="B125" s="274">
        <f>H120-K120</f>
        <v>0</v>
      </c>
      <c r="C125" s="274"/>
      <c r="D125" s="41"/>
      <c r="E125" s="305"/>
      <c r="F125" s="305"/>
      <c r="G125" s="228"/>
      <c r="H125" s="228"/>
      <c r="I125" s="327"/>
      <c r="J125" s="327"/>
      <c r="K125" s="328"/>
    </row>
    <row r="126" spans="1:19">
      <c r="A126" s="49"/>
      <c r="B126" s="36"/>
      <c r="C126" s="36"/>
      <c r="D126" s="36"/>
      <c r="E126" s="36"/>
      <c r="F126" s="36"/>
      <c r="G126" s="36"/>
      <c r="H126" s="36"/>
      <c r="I126" s="36"/>
      <c r="J126" s="36"/>
      <c r="K126" s="64"/>
    </row>
    <row r="127" spans="1:19">
      <c r="A127" s="330" t="s">
        <v>206</v>
      </c>
      <c r="B127" s="331"/>
      <c r="C127" s="331"/>
      <c r="D127" s="36"/>
      <c r="E127" s="36"/>
      <c r="F127" s="36"/>
      <c r="G127" s="36"/>
      <c r="H127" s="36"/>
      <c r="I127" s="36"/>
      <c r="J127" s="36"/>
      <c r="K127" s="64"/>
    </row>
    <row r="128" spans="1:19">
      <c r="A128" s="330"/>
      <c r="B128" s="331"/>
      <c r="C128" s="331"/>
      <c r="D128" s="36"/>
      <c r="E128" s="36"/>
      <c r="F128" s="36"/>
      <c r="G128" s="36"/>
      <c r="H128" s="36"/>
      <c r="I128" s="36"/>
      <c r="J128" s="36"/>
      <c r="K128" s="64"/>
    </row>
    <row r="129" spans="1:11">
      <c r="A129" s="330"/>
      <c r="B129" s="331"/>
      <c r="C129" s="331"/>
      <c r="D129" s="36"/>
      <c r="E129" s="36"/>
      <c r="F129" s="36"/>
      <c r="G129" s="36"/>
      <c r="H129" s="36"/>
      <c r="I129" s="36"/>
      <c r="J129" s="36"/>
      <c r="K129" s="64"/>
    </row>
    <row r="130" spans="1:11">
      <c r="A130" s="330"/>
      <c r="B130" s="331"/>
      <c r="C130" s="331"/>
      <c r="D130" s="36"/>
      <c r="E130" s="36"/>
      <c r="F130" s="36"/>
      <c r="G130" s="36"/>
      <c r="H130" s="36"/>
      <c r="I130" s="36"/>
      <c r="J130" s="36"/>
      <c r="K130" s="64"/>
    </row>
    <row r="131" spans="1:11">
      <c r="A131" s="330"/>
      <c r="B131" s="331"/>
      <c r="C131" s="331"/>
      <c r="D131" s="36"/>
      <c r="E131" s="36"/>
      <c r="F131" s="36"/>
      <c r="G131" s="36"/>
      <c r="H131" s="36"/>
      <c r="I131" s="36"/>
      <c r="J131" s="36"/>
      <c r="K131" s="64"/>
    </row>
    <row r="132" spans="1:11">
      <c r="A132" s="49"/>
      <c r="B132" s="36"/>
      <c r="C132" s="36"/>
      <c r="D132" s="36"/>
      <c r="E132" s="36"/>
      <c r="F132" s="36"/>
      <c r="G132" s="36"/>
      <c r="H132" s="36"/>
      <c r="I132" s="36"/>
      <c r="J132" s="36"/>
      <c r="K132" s="64"/>
    </row>
    <row r="133" spans="1:11">
      <c r="A133" s="281" t="s">
        <v>169</v>
      </c>
      <c r="B133" s="281"/>
      <c r="C133" s="281"/>
      <c r="D133" s="281"/>
      <c r="E133" s="281"/>
      <c r="F133" s="281"/>
      <c r="G133" s="281"/>
      <c r="H133" s="281"/>
      <c r="I133" s="281"/>
      <c r="J133" s="281"/>
      <c r="K133" s="281"/>
    </row>
    <row r="135" spans="1:11" s="206" customFormat="1"/>
  </sheetData>
  <mergeCells count="127">
    <mergeCell ref="A127:C131"/>
    <mergeCell ref="A133:K133"/>
    <mergeCell ref="M97:Q97"/>
    <mergeCell ref="R97:S97"/>
    <mergeCell ref="M99:P99"/>
    <mergeCell ref="Q99:R99"/>
    <mergeCell ref="R102:S102"/>
    <mergeCell ref="Q103:Q104"/>
    <mergeCell ref="M106:S106"/>
    <mergeCell ref="M123:R123"/>
    <mergeCell ref="B123:C123"/>
    <mergeCell ref="G123:G124"/>
    <mergeCell ref="H123:K124"/>
    <mergeCell ref="B124:C124"/>
    <mergeCell ref="B125:C125"/>
    <mergeCell ref="E125:F125"/>
    <mergeCell ref="I125:K125"/>
    <mergeCell ref="B118:C118"/>
    <mergeCell ref="B119:C119"/>
    <mergeCell ref="B120:C120"/>
    <mergeCell ref="B121:C121"/>
    <mergeCell ref="B122:C122"/>
    <mergeCell ref="H113:K113"/>
    <mergeCell ref="E114:H114"/>
    <mergeCell ref="I114:K114"/>
    <mergeCell ref="B116:C116"/>
    <mergeCell ref="B117:C117"/>
    <mergeCell ref="B104:C104"/>
    <mergeCell ref="E104:F104"/>
    <mergeCell ref="I104:K104"/>
    <mergeCell ref="A106:C110"/>
    <mergeCell ref="B112:C112"/>
    <mergeCell ref="E112:K112"/>
    <mergeCell ref="B99:C99"/>
    <mergeCell ref="B100:C100"/>
    <mergeCell ref="B101:C101"/>
    <mergeCell ref="G102:G103"/>
    <mergeCell ref="H102:K103"/>
    <mergeCell ref="B94:C94"/>
    <mergeCell ref="B95:C95"/>
    <mergeCell ref="B96:C96"/>
    <mergeCell ref="B97:C97"/>
    <mergeCell ref="B98:C98"/>
    <mergeCell ref="B91:C91"/>
    <mergeCell ref="E91:K91"/>
    <mergeCell ref="H92:K92"/>
    <mergeCell ref="B93:C93"/>
    <mergeCell ref="E93:H93"/>
    <mergeCell ref="I93:K93"/>
    <mergeCell ref="A87:K87"/>
    <mergeCell ref="B61:C61"/>
    <mergeCell ref="E61:K61"/>
    <mergeCell ref="H62:K62"/>
    <mergeCell ref="B63:C63"/>
    <mergeCell ref="E63:H63"/>
    <mergeCell ref="I63:K63"/>
    <mergeCell ref="I75:K75"/>
    <mergeCell ref="B64:C64"/>
    <mergeCell ref="B65:C65"/>
    <mergeCell ref="B66:C66"/>
    <mergeCell ref="B67:C67"/>
    <mergeCell ref="B68:C68"/>
    <mergeCell ref="B69:C69"/>
    <mergeCell ref="A77:C81"/>
    <mergeCell ref="A83:G83"/>
    <mergeCell ref="B85:G85"/>
    <mergeCell ref="B70:C70"/>
    <mergeCell ref="B71:C71"/>
    <mergeCell ref="B75:C75"/>
    <mergeCell ref="E75:F75"/>
    <mergeCell ref="M61:Q61"/>
    <mergeCell ref="R61:S61"/>
    <mergeCell ref="M70:S70"/>
    <mergeCell ref="M87:R87"/>
    <mergeCell ref="M63:P63"/>
    <mergeCell ref="Q63:R63"/>
    <mergeCell ref="R66:S66"/>
    <mergeCell ref="Q67:Q68"/>
    <mergeCell ref="B1:C1"/>
    <mergeCell ref="E1:K1"/>
    <mergeCell ref="H2:K2"/>
    <mergeCell ref="B3:C3"/>
    <mergeCell ref="E3:H3"/>
    <mergeCell ref="I3:K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E14:F14"/>
    <mergeCell ref="I14:K14"/>
    <mergeCell ref="A16:C20"/>
    <mergeCell ref="A22:G22"/>
    <mergeCell ref="B23:G23"/>
    <mergeCell ref="B24:G24"/>
    <mergeCell ref="B25:G25"/>
    <mergeCell ref="B26:G26"/>
    <mergeCell ref="B27:G27"/>
    <mergeCell ref="B31:C31"/>
    <mergeCell ref="E31:K31"/>
    <mergeCell ref="H32:K32"/>
    <mergeCell ref="B33:C33"/>
    <mergeCell ref="E33:H33"/>
    <mergeCell ref="I33:K33"/>
    <mergeCell ref="B34:C34"/>
    <mergeCell ref="B35:C35"/>
    <mergeCell ref="B36:C36"/>
    <mergeCell ref="B37:C37"/>
    <mergeCell ref="B38:C38"/>
    <mergeCell ref="B39:C39"/>
    <mergeCell ref="B40:C40"/>
    <mergeCell ref="B41:C41"/>
    <mergeCell ref="B44:C44"/>
    <mergeCell ref="E44:F44"/>
    <mergeCell ref="I44:K44"/>
    <mergeCell ref="B56:G56"/>
    <mergeCell ref="B57:G57"/>
    <mergeCell ref="A46:C50"/>
    <mergeCell ref="A52:G52"/>
    <mergeCell ref="B53:G53"/>
    <mergeCell ref="B54:G54"/>
    <mergeCell ref="B55:G55"/>
  </mergeCells>
  <conditionalFormatting sqref="G62 G2 G32 G92 G113">
    <cfRule type="cellIs" dxfId="281" priority="85" operator="greaterThanOrEqual">
      <formula>0</formula>
    </cfRule>
    <cfRule type="cellIs" dxfId="280" priority="86" operator="lessThan">
      <formula>0</formula>
    </cfRule>
  </conditionalFormatting>
  <conditionalFormatting sqref="E75 E14 E44 E125">
    <cfRule type="containsText" dxfId="279" priority="84" operator="containsText" text="OBRA ATRASADA">
      <formula>NOT(ISERROR(SEARCH("OBRA ATRASADA",E14)))</formula>
    </cfRule>
  </conditionalFormatting>
  <conditionalFormatting sqref="H62 H92 H113">
    <cfRule type="cellIs" dxfId="278" priority="81" operator="equal">
      <formula>"BM DENTRO DO ACUMULADO PREVISTO - PODE SER PAGO"</formula>
    </cfRule>
    <cfRule type="cellIs" dxfId="277" priority="82" operator="equal">
      <formula>"BM MENOR DO QUE O PREVISO - MARGEM TOLERÁVEL - LIBERAR PAGAMENTO COM JUSTIFICATIVA"</formula>
    </cfRule>
    <cfRule type="cellIs" dxfId="276" priority="83" operator="equal">
      <formula>"EXECUÇÃO MUITO INFERIOR À PREVISÃO DE ACÚMULO PARA ESTE BM - AGUARDANDO NOVO BM PARA LIBERAR PAGAMENTO"</formula>
    </cfRule>
  </conditionalFormatting>
  <conditionalFormatting sqref="H62 H2 H32 H92 H113">
    <cfRule type="cellIs" dxfId="275" priority="78" operator="equal">
      <formula>"PAGAMENTO DO BM LIBERADO"</formula>
    </cfRule>
    <cfRule type="cellIs" dxfId="274" priority="79" operator="equal">
      <formula>"BM MENOR DO QUE O PREVISO - MARGEM TOLERÁVEL - LIBERAR PAGAMENTO COM JUSTIFICATIVA"</formula>
    </cfRule>
    <cfRule type="cellIs" dxfId="273" priority="80" operator="equal">
      <formula>"EXECUÇÃO MUITO INFERIOR À PREVISTA PARA ESTE BM - AGUARDANDO NOVO BM PARA LIBERAR PAGAMENTO"</formula>
    </cfRule>
  </conditionalFormatting>
  <conditionalFormatting sqref="H62 H2 H32 H92 H113">
    <cfRule type="cellIs" dxfId="272" priority="75" operator="equal">
      <formula>"BM DENTRO DO ACUMULADO PREVISTO - PODE SER PAGO"</formula>
    </cfRule>
    <cfRule type="cellIs" dxfId="271" priority="76" operator="equal">
      <formula>"BM MENOR DO QUE O PREVISO - MARGEM TOLERÁVEL - LIBERAR PAGAMENTO COM JUSTIFICATIVA"</formula>
    </cfRule>
    <cfRule type="cellIs" dxfId="270" priority="77" operator="equal">
      <formula>"EXECUÇÃO MUITO INFERIOR À PREVISÃO DE ACÚMULO PARA ESTE BM - SOLICITAR NOVO BM PARA LIBERAR PAGAMENTO"</formula>
    </cfRule>
  </conditionalFormatting>
  <conditionalFormatting sqref="C74 C13 C43 C103">
    <cfRule type="expression" dxfId="269" priority="74">
      <formula>C13&lt;(TODAY())</formula>
    </cfRule>
  </conditionalFormatting>
  <conditionalFormatting sqref="H62 H2 H32 H92 H113">
    <cfRule type="cellIs" dxfId="268" priority="71" operator="equal">
      <formula>"BM DENTRO DO ACUMULADO PREVISTO - LIBERAR PAGAMENTO"</formula>
    </cfRule>
    <cfRule type="cellIs" dxfId="267" priority="72" operator="equal">
      <formula>"BM MENOR DO QUE O PREVISTO - MARGEM TOLERÁVEL - LIBERAR PAGAMENTO COM JUSTIFICATIVA"</formula>
    </cfRule>
    <cfRule type="cellIs" dxfId="266" priority="73" operator="equal">
      <formula>"EXECUÇÃO MUITO INFERIOR À PREVISÃO DE ACÚMULO PARA ESTE BM - SOLICITAR NOVO BM PARA LIBERAR PAGAMENTO"</formula>
    </cfRule>
  </conditionalFormatting>
  <conditionalFormatting sqref="B75:C75 B14:C14 B44:C44">
    <cfRule type="cellIs" dxfId="265" priority="70" operator="lessThanOrEqual">
      <formula>0</formula>
    </cfRule>
  </conditionalFormatting>
  <conditionalFormatting sqref="A75 A14 A44">
    <cfRule type="expression" dxfId="264" priority="69">
      <formula>$B$74&lt;=0</formula>
    </cfRule>
  </conditionalFormatting>
  <conditionalFormatting sqref="P72:P86 P108:P122">
    <cfRule type="cellIs" dxfId="263" priority="68" operator="lessThanOrEqual">
      <formula>0</formula>
    </cfRule>
  </conditionalFormatting>
  <conditionalFormatting sqref="H32">
    <cfRule type="cellIs" dxfId="262" priority="44" operator="equal">
      <formula>"BM DENTRO DO ACUMULADO PREVISTO - LIBERAR PAGAMENTO"</formula>
    </cfRule>
    <cfRule type="cellIs" dxfId="261" priority="45" operator="equal">
      <formula>"BM MENOR DO QUE O PREVISO - MARGEM TOLERÁVEL - LIBERAR PAGAMENTO COM JUSTIFICATIVA"</formula>
    </cfRule>
    <cfRule type="cellIs" dxfId="260" priority="46" operator="equal">
      <formula>"EXECUÇÃO MUITO INFERIOR À PREVISÃO DE ACÚMULO PARA ESTE BM - SOLICITAR NOVO BM PARA LIBERAR PAGAMENTO"</formula>
    </cfRule>
  </conditionalFormatting>
  <printOptions horizontalCentered="1"/>
  <pageMargins left="0.51181102362204722" right="0.51181102362204722" top="1.1811023622047245" bottom="0.78740157480314965" header="0.31496062992125984" footer="0.31496062992125984"/>
  <pageSetup paperSize="9" orientation="landscape" horizontalDpi="4294967293" verticalDpi="4294967293" r:id="rId1"/>
  <headerFooter>
    <oddHeader>&amp;C&amp;G
Prefeitura Municipal de Restinga Sêca
- Acompanhamento de evolução de obra -</oddHeader>
    <oddFooter>&amp;CDocumento impresso em &amp;D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8"/>
  <sheetViews>
    <sheetView workbookViewId="0"/>
  </sheetViews>
  <sheetFormatPr defaultRowHeight="15"/>
  <cols>
    <col min="1" max="1" width="27" style="15" bestFit="1" customWidth="1"/>
    <col min="2" max="2" width="13.28515625" style="15" customWidth="1"/>
    <col min="3" max="3" width="15.42578125" style="15" customWidth="1"/>
    <col min="4" max="4" width="0.7109375" style="15" customWidth="1"/>
    <col min="5" max="5" width="4.140625" style="15" bestFit="1" customWidth="1"/>
    <col min="6" max="6" width="13.7109375" style="15" bestFit="1" customWidth="1"/>
    <col min="7" max="7" width="10.7109375" style="15" bestFit="1" customWidth="1"/>
    <col min="8" max="8" width="12" style="15" bestFit="1" customWidth="1"/>
    <col min="9" max="9" width="14.42578125" style="15" bestFit="1" customWidth="1"/>
    <col min="10" max="10" width="12.5703125" style="15" bestFit="1" customWidth="1"/>
    <col min="11" max="11" width="12" style="15" bestFit="1" customWidth="1"/>
    <col min="12" max="16384" width="9.140625" style="15"/>
  </cols>
  <sheetData>
    <row r="1" spans="1:11" ht="15.75" thickBot="1">
      <c r="A1" s="43" t="s">
        <v>79</v>
      </c>
      <c r="B1" s="68" t="s">
        <v>78</v>
      </c>
      <c r="C1" s="68" t="s">
        <v>80</v>
      </c>
      <c r="D1" s="45"/>
      <c r="E1" s="300" t="s">
        <v>81</v>
      </c>
      <c r="F1" s="300"/>
      <c r="G1" s="300"/>
      <c r="H1" s="300"/>
      <c r="I1" s="300"/>
      <c r="J1" s="300"/>
      <c r="K1" s="301"/>
    </row>
    <row r="2" spans="1:11" ht="31.5" customHeight="1" thickBot="1">
      <c r="A2" s="48" t="s">
        <v>66</v>
      </c>
      <c r="B2" s="35">
        <v>4</v>
      </c>
      <c r="C2" s="42">
        <f>IF(B2=1,I5,IF(B2=2,I6,IF(B2=3,I7,IF(B2=4,I8,IF(B2=5,I9,IF(B2=6,I10))))))</f>
        <v>44050</v>
      </c>
      <c r="D2" s="51"/>
      <c r="E2" s="51"/>
      <c r="F2" s="50" t="s">
        <v>68</v>
      </c>
      <c r="G2" s="44">
        <f>IF(B2=1,K5-H5,IF(B2=2,K6-H6,IF(B2=3,K7-H7,IF(B2=4,K8-H8,IF(B2=5,K9-H9,IF(B2=6,K10-H10,IF(B2=7,K11-H11,IF(B2=8,K12-H12))))))))</f>
        <v>0.40300000000000002</v>
      </c>
      <c r="H2" s="282" t="str">
        <f>IF(G2&lt;=-0.0501,"EXECUÇÃO MUITO INFERIOR À PREVISÃO DE ACÚMULO PARA ESTE BM - SOLICITAR NOVO BM PARA LIBERAR PAGAMENTO",IF(G2&lt;0,"BM MENOR DO QUE O PREVISTO - MARGEM TOLERÁVEL - LIBERAR PAGAMENTO COM JUSTIFICATIVA",IF(G2&gt;=0,"BM DENTRO DO ACUMULADO PREVISTO - LIBERAR PAGAMENTO")))</f>
        <v>BM DENTRO DO ACUMULADO PREVISTO - LIBERAR PAGAMENTO</v>
      </c>
      <c r="I2" s="282"/>
      <c r="J2" s="282"/>
      <c r="K2" s="283"/>
    </row>
    <row r="3" spans="1:11" ht="15.75" thickBot="1">
      <c r="A3" s="37" t="s">
        <v>4</v>
      </c>
      <c r="B3" s="284" t="s">
        <v>82</v>
      </c>
      <c r="C3" s="284"/>
      <c r="D3" s="38"/>
      <c r="E3" s="285" t="s">
        <v>64</v>
      </c>
      <c r="F3" s="286"/>
      <c r="G3" s="286"/>
      <c r="H3" s="286"/>
      <c r="I3" s="287" t="s">
        <v>65</v>
      </c>
      <c r="J3" s="287"/>
      <c r="K3" s="288"/>
    </row>
    <row r="4" spans="1:11" ht="15.75" thickBot="1">
      <c r="A4" s="71" t="s">
        <v>86</v>
      </c>
      <c r="B4" s="289" t="s">
        <v>94</v>
      </c>
      <c r="C4" s="289"/>
      <c r="D4" s="38"/>
      <c r="E4" s="52" t="s">
        <v>58</v>
      </c>
      <c r="F4" s="53" t="s">
        <v>61</v>
      </c>
      <c r="G4" s="54" t="s">
        <v>59</v>
      </c>
      <c r="H4" s="54" t="s">
        <v>63</v>
      </c>
      <c r="I4" s="55" t="s">
        <v>60</v>
      </c>
      <c r="J4" s="55" t="s">
        <v>62</v>
      </c>
      <c r="K4" s="56" t="s">
        <v>63</v>
      </c>
    </row>
    <row r="5" spans="1:11" ht="15.75" thickBot="1">
      <c r="A5" s="72" t="s">
        <v>88</v>
      </c>
      <c r="B5" s="290">
        <v>206552.58</v>
      </c>
      <c r="C5" s="291"/>
      <c r="D5" s="38"/>
      <c r="E5" s="57">
        <v>1</v>
      </c>
      <c r="F5" s="58">
        <f>B9+30</f>
        <v>43840</v>
      </c>
      <c r="G5" s="59">
        <v>0.14480000000000001</v>
      </c>
      <c r="H5" s="59">
        <f>G5</f>
        <v>0.14480000000000001</v>
      </c>
      <c r="I5" s="60">
        <v>43865</v>
      </c>
      <c r="J5" s="61">
        <v>7.4800000000000005E-2</v>
      </c>
      <c r="K5" s="63">
        <f>J5</f>
        <v>7.4800000000000005E-2</v>
      </c>
    </row>
    <row r="6" spans="1:11" ht="15.75" thickBot="1">
      <c r="A6" s="39" t="s">
        <v>57</v>
      </c>
      <c r="B6" s="292" t="s">
        <v>83</v>
      </c>
      <c r="C6" s="292"/>
      <c r="D6" s="38"/>
      <c r="E6" s="57">
        <v>2</v>
      </c>
      <c r="F6" s="58">
        <f>F5+30</f>
        <v>43870</v>
      </c>
      <c r="G6" s="59">
        <v>0.12640000000000001</v>
      </c>
      <c r="H6" s="59">
        <f>H5+G6</f>
        <v>0.2712</v>
      </c>
      <c r="I6" s="60">
        <v>43943</v>
      </c>
      <c r="J6" s="61">
        <v>0.27829999999999999</v>
      </c>
      <c r="K6" s="63">
        <f>K5+J6</f>
        <v>0.35309999999999997</v>
      </c>
    </row>
    <row r="7" spans="1:11" ht="15.75" customHeight="1" thickBot="1">
      <c r="A7" s="76" t="s">
        <v>95</v>
      </c>
      <c r="B7" s="284">
        <v>240</v>
      </c>
      <c r="C7" s="284"/>
      <c r="D7" s="38"/>
      <c r="E7" s="57">
        <v>3</v>
      </c>
      <c r="F7" s="58">
        <f t="shared" ref="F7:F12" si="0">F6+30</f>
        <v>43900</v>
      </c>
      <c r="G7" s="59">
        <v>0.1522</v>
      </c>
      <c r="H7" s="59">
        <f>H6+G7</f>
        <v>0.4234</v>
      </c>
      <c r="I7" s="60">
        <v>44021</v>
      </c>
      <c r="J7" s="61">
        <v>0.33760000000000001</v>
      </c>
      <c r="K7" s="63">
        <f>K6+J7</f>
        <v>0.69069999999999998</v>
      </c>
    </row>
    <row r="8" spans="1:11" ht="15.75" thickBot="1">
      <c r="A8" s="76" t="s">
        <v>96</v>
      </c>
      <c r="B8" s="284">
        <v>30</v>
      </c>
      <c r="C8" s="284"/>
      <c r="D8" s="38"/>
      <c r="E8" s="57">
        <v>4</v>
      </c>
      <c r="F8" s="58">
        <f t="shared" si="0"/>
        <v>43930</v>
      </c>
      <c r="G8" s="59">
        <v>6.8699999999999997E-2</v>
      </c>
      <c r="H8" s="59">
        <f t="shared" ref="H8:H12" si="1">H7+G8</f>
        <v>0.49209999999999998</v>
      </c>
      <c r="I8" s="60">
        <v>44050</v>
      </c>
      <c r="J8" s="61">
        <v>0.2044</v>
      </c>
      <c r="K8" s="63">
        <f>K7+J8</f>
        <v>0.89510000000000001</v>
      </c>
    </row>
    <row r="9" spans="1:11" ht="15.75" thickBot="1">
      <c r="A9" s="39" t="s">
        <v>36</v>
      </c>
      <c r="B9" s="271">
        <v>43810</v>
      </c>
      <c r="C9" s="271"/>
      <c r="D9" s="38"/>
      <c r="E9" s="57">
        <v>5</v>
      </c>
      <c r="F9" s="58">
        <f t="shared" si="0"/>
        <v>43960</v>
      </c>
      <c r="G9" s="59">
        <v>8.4400000000000003E-2</v>
      </c>
      <c r="H9" s="59">
        <f t="shared" si="1"/>
        <v>0.57650000000000001</v>
      </c>
      <c r="I9" s="60"/>
      <c r="J9" s="61"/>
      <c r="K9" s="63">
        <f t="shared" ref="K9:K12" si="2">K8+J9</f>
        <v>0.89510000000000001</v>
      </c>
    </row>
    <row r="10" spans="1:11" ht="15.75" thickBot="1">
      <c r="A10" s="37" t="s">
        <v>69</v>
      </c>
      <c r="B10" s="272">
        <f t="shared" ref="B10" si="3">B9+B7+B8</f>
        <v>44080</v>
      </c>
      <c r="C10" s="272"/>
      <c r="D10" s="40"/>
      <c r="E10" s="57">
        <v>6</v>
      </c>
      <c r="F10" s="58">
        <f t="shared" si="0"/>
        <v>43990</v>
      </c>
      <c r="G10" s="59">
        <v>0.17319999999999999</v>
      </c>
      <c r="H10" s="59">
        <f t="shared" si="1"/>
        <v>0.74970000000000003</v>
      </c>
      <c r="I10" s="62"/>
      <c r="J10" s="61"/>
      <c r="K10" s="63">
        <f t="shared" si="2"/>
        <v>0.89510000000000001</v>
      </c>
    </row>
    <row r="11" spans="1:11" ht="15.75" thickBot="1">
      <c r="A11" s="39" t="s">
        <v>25</v>
      </c>
      <c r="B11" s="273">
        <f>IF(B2=1,K5,IF(B2=2,K6,IF(B2=3,K7,IF(B2=4,K8,IF(B2=5,K9,IF(B2=6,K10,IF(B2=7,K11,IF(B2=8,K12))))))))</f>
        <v>0.89510000000000001</v>
      </c>
      <c r="C11" s="273"/>
      <c r="D11" s="38"/>
      <c r="E11" s="66">
        <v>7</v>
      </c>
      <c r="F11" s="58">
        <f t="shared" si="0"/>
        <v>44020</v>
      </c>
      <c r="G11" s="59">
        <v>0.12970000000000001</v>
      </c>
      <c r="H11" s="59">
        <f t="shared" si="1"/>
        <v>0.87940000000000007</v>
      </c>
      <c r="I11" s="62"/>
      <c r="J11" s="61"/>
      <c r="K11" s="63">
        <f t="shared" si="2"/>
        <v>0.89510000000000001</v>
      </c>
    </row>
    <row r="12" spans="1:11" ht="15.75" thickBot="1">
      <c r="A12" s="49"/>
      <c r="B12" s="345"/>
      <c r="C12" s="345"/>
      <c r="D12" s="38"/>
      <c r="E12" s="67">
        <v>8</v>
      </c>
      <c r="F12" s="58">
        <f t="shared" si="0"/>
        <v>44050</v>
      </c>
      <c r="G12" s="59">
        <v>0.1206</v>
      </c>
      <c r="H12" s="59">
        <f t="shared" si="1"/>
        <v>1</v>
      </c>
      <c r="I12" s="62"/>
      <c r="J12" s="61"/>
      <c r="K12" s="63">
        <f t="shared" si="2"/>
        <v>0.89510000000000001</v>
      </c>
    </row>
    <row r="13" spans="1:11">
      <c r="A13" s="49"/>
      <c r="B13" s="36"/>
      <c r="C13" s="36"/>
      <c r="D13" s="38"/>
      <c r="E13" s="36"/>
      <c r="F13" s="36"/>
      <c r="G13" s="36"/>
      <c r="H13" s="36"/>
      <c r="I13" s="36"/>
      <c r="J13" s="36"/>
      <c r="K13" s="64"/>
    </row>
    <row r="14" spans="1:11">
      <c r="A14" s="37" t="s">
        <v>67</v>
      </c>
      <c r="B14" s="46">
        <f>IF(B$2=1,2,IF(B$2=2,3,IF(B$2=3,4,IF(B$2=4,5,IF(B$2=5,6,IF(B$2=6,7,IF(B$2=7,8)))))))</f>
        <v>5</v>
      </c>
      <c r="C14" s="47">
        <f>IF(B$2=1,F$6,IF(B$2=2,F$7,IF(B$2=3,F$8,IF(B$2=4,F$9,IF(B$2=5,F$10,IF(B$2=6,F$11,IF(B$2=7,F$12)))))))</f>
        <v>43960</v>
      </c>
      <c r="D14" s="38"/>
      <c r="E14" s="36"/>
      <c r="F14" s="36"/>
      <c r="G14" s="36"/>
      <c r="H14" s="36"/>
      <c r="I14" s="36"/>
      <c r="J14" s="36"/>
      <c r="K14" s="64"/>
    </row>
    <row r="15" spans="1:11" ht="30">
      <c r="A15" s="65" t="s">
        <v>84</v>
      </c>
      <c r="B15" s="274">
        <f>IF($B$2=1,H$6-K$5,IF($B$2=2,H$7-K$6,IF($B$2=3,H$8-K$7,IF($B$2=4,H$9-K$8,IF($B$2=5,H$10-K$9,IF($B$2=6,H$11-K$10,IF($B$2=7,H$12-K$11)))))))</f>
        <v>-0.31859999999999999</v>
      </c>
      <c r="C15" s="274"/>
      <c r="D15" s="41"/>
      <c r="E15" s="346" t="str">
        <f ca="1">IF(TODAY()&gt;C14,"OBRA ATRASADA","")</f>
        <v>OBRA ATRASADA</v>
      </c>
      <c r="F15" s="346"/>
      <c r="G15" s="69" t="str">
        <f ca="1">IF(TODAY()&gt;C14,"EM","")</f>
        <v>EM</v>
      </c>
      <c r="H15" s="77">
        <f ca="1">IF(TODAY()&gt;C14,TODAY()-C14,"")</f>
        <v>517</v>
      </c>
      <c r="I15" s="276" t="str">
        <f t="shared" ref="I15" ca="1" si="4">IF(TODAY()&gt;C14,"DIAS EM RELAÇÃO AO CRONOGRAMA","")</f>
        <v>DIAS EM RELAÇÃO AO CRONOGRAMA</v>
      </c>
      <c r="J15" s="276"/>
      <c r="K15" s="277"/>
    </row>
    <row r="17" spans="1:11" ht="15" customHeight="1">
      <c r="A17" s="280" t="s">
        <v>97</v>
      </c>
      <c r="B17" s="280"/>
      <c r="C17" s="280"/>
    </row>
    <row r="18" spans="1:11">
      <c r="A18" s="280"/>
      <c r="B18" s="280"/>
      <c r="C18" s="280"/>
    </row>
    <row r="19" spans="1:11">
      <c r="A19" s="280"/>
      <c r="B19" s="280"/>
      <c r="C19" s="280"/>
    </row>
    <row r="20" spans="1:11">
      <c r="A20" s="280"/>
      <c r="B20" s="280"/>
      <c r="C20" s="280"/>
    </row>
    <row r="21" spans="1:11">
      <c r="A21" s="280"/>
      <c r="B21" s="280"/>
      <c r="C21" s="280"/>
    </row>
    <row r="22" spans="1:11">
      <c r="A22" s="74"/>
      <c r="B22" s="74"/>
      <c r="C22" s="74"/>
    </row>
    <row r="23" spans="1:11">
      <c r="A23" s="281" t="s">
        <v>139</v>
      </c>
      <c r="B23" s="281"/>
      <c r="C23" s="281"/>
      <c r="D23" s="281"/>
      <c r="E23" s="281"/>
      <c r="F23" s="281"/>
      <c r="G23" s="281"/>
    </row>
    <row r="24" spans="1:11">
      <c r="A24" s="75">
        <v>44026</v>
      </c>
      <c r="B24" s="247" t="s">
        <v>145</v>
      </c>
      <c r="C24" s="278"/>
      <c r="D24" s="278"/>
      <c r="E24" s="278"/>
      <c r="F24" s="278"/>
      <c r="G24" s="279"/>
    </row>
    <row r="25" spans="1:11">
      <c r="A25" s="75">
        <v>43951</v>
      </c>
      <c r="B25" s="247" t="s">
        <v>146</v>
      </c>
      <c r="C25" s="278"/>
      <c r="D25" s="278"/>
      <c r="E25" s="278"/>
      <c r="F25" s="278"/>
      <c r="G25" s="279"/>
    </row>
    <row r="26" spans="1:11">
      <c r="A26" s="75">
        <v>43879</v>
      </c>
      <c r="B26" s="247" t="s">
        <v>147</v>
      </c>
      <c r="C26" s="278"/>
      <c r="D26" s="278"/>
      <c r="E26" s="278"/>
      <c r="F26" s="278"/>
      <c r="G26" s="279"/>
    </row>
    <row r="28" spans="1:11">
      <c r="A28" s="281" t="s">
        <v>167</v>
      </c>
      <c r="B28" s="281"/>
      <c r="C28" s="281"/>
      <c r="D28" s="281"/>
      <c r="E28" s="281"/>
      <c r="F28" s="281"/>
      <c r="G28" s="281"/>
      <c r="H28" s="281"/>
      <c r="I28" s="281"/>
      <c r="J28" s="281"/>
      <c r="K28" s="281"/>
    </row>
  </sheetData>
  <mergeCells count="23">
    <mergeCell ref="A28:K28"/>
    <mergeCell ref="B24:G24"/>
    <mergeCell ref="E1:K1"/>
    <mergeCell ref="H2:K2"/>
    <mergeCell ref="B3:C3"/>
    <mergeCell ref="E3:H3"/>
    <mergeCell ref="I3:K3"/>
    <mergeCell ref="B26:G26"/>
    <mergeCell ref="B6:C6"/>
    <mergeCell ref="B4:C4"/>
    <mergeCell ref="B5:C5"/>
    <mergeCell ref="I15:K15"/>
    <mergeCell ref="B9:C9"/>
    <mergeCell ref="B15:C15"/>
    <mergeCell ref="E15:F15"/>
    <mergeCell ref="A23:G23"/>
    <mergeCell ref="A17:C21"/>
    <mergeCell ref="B25:G25"/>
    <mergeCell ref="B7:C7"/>
    <mergeCell ref="B8:C8"/>
    <mergeCell ref="B10:C10"/>
    <mergeCell ref="B11:C11"/>
    <mergeCell ref="B12:C12"/>
  </mergeCells>
  <conditionalFormatting sqref="G2">
    <cfRule type="cellIs" dxfId="259" priority="24" operator="greaterThanOrEqual">
      <formula>0</formula>
    </cfRule>
    <cfRule type="cellIs" dxfId="258" priority="25" operator="lessThan">
      <formula>0</formula>
    </cfRule>
  </conditionalFormatting>
  <conditionalFormatting sqref="E15">
    <cfRule type="containsText" dxfId="257" priority="23" operator="containsText" text="OBRA ATRASADA">
      <formula>NOT(ISERROR(SEARCH("OBRA ATRASADA",E15)))</formula>
    </cfRule>
  </conditionalFormatting>
  <conditionalFormatting sqref="H2">
    <cfRule type="cellIs" dxfId="256" priority="20" operator="equal">
      <formula>"BM DENTRO DO ACUMULADO PREVISTO - PODE SER PAGO"</formula>
    </cfRule>
    <cfRule type="cellIs" dxfId="255" priority="21" operator="equal">
      <formula>"BM MENOR DO QUE O PREVISO - MARGEM TOLERÁVEL - LIBERAR PAGAMENTO COM JUSTIFICATIVA"</formula>
    </cfRule>
    <cfRule type="cellIs" dxfId="254" priority="22" operator="equal">
      <formula>"EXECUÇÃO MUITO INFERIOR À PREVISÃO DE ACÚMULO PARA ESTE BM - AGUARDANDO NOVO BM PARA LIBERAR PAGAMENTO"</formula>
    </cfRule>
  </conditionalFormatting>
  <conditionalFormatting sqref="H2">
    <cfRule type="cellIs" dxfId="253" priority="17" operator="equal">
      <formula>"PAGAMENTO DO BM LIBERADO"</formula>
    </cfRule>
    <cfRule type="cellIs" dxfId="252" priority="18" operator="equal">
      <formula>"BM MENOR DO QUE O PREVISO - MARGEM TOLERÁVEL - LIBERAR PAGAMENTO COM JUSTIFICATIVA"</formula>
    </cfRule>
    <cfRule type="cellIs" dxfId="251" priority="19" operator="equal">
      <formula>"EXECUÇÃO MUITO INFERIOR À PREVISTA PARA ESTE BM - AGUARDANDO NOVO BM PARA LIBERAR PAGAMENTO"</formula>
    </cfRule>
  </conditionalFormatting>
  <conditionalFormatting sqref="H2">
    <cfRule type="cellIs" dxfId="250" priority="14" operator="equal">
      <formula>"BM DENTRO DO ACUMULADO PREVISTO - PODE SER PAGO"</formula>
    </cfRule>
    <cfRule type="cellIs" dxfId="249" priority="15" operator="equal">
      <formula>"BM MENOR DO QUE O PREVISO - MARGEM TOLERÁVEL - LIBERAR PAGAMENTO COM JUSTIFICATIVA"</formula>
    </cfRule>
    <cfRule type="cellIs" dxfId="248" priority="16" operator="equal">
      <formula>"EXECUÇÃO MUITO INFERIOR À PREVISÃO DE ACÚMULO PARA ESTE BM - SOLICITAR NOVO BM PARA LIBERAR PAGAMENTO"</formula>
    </cfRule>
  </conditionalFormatting>
  <conditionalFormatting sqref="C14">
    <cfRule type="expression" dxfId="247" priority="13">
      <formula>C14&lt;(TODAY())</formula>
    </cfRule>
  </conditionalFormatting>
  <conditionalFormatting sqref="H2">
    <cfRule type="cellIs" dxfId="246" priority="4" operator="equal">
      <formula>"BM DENTRO DO ACUMULADO PREVISTO - LIBERAR PAGAMENTO"</formula>
    </cfRule>
    <cfRule type="cellIs" dxfId="245" priority="5" operator="equal">
      <formula>"BM MENOR DO QUE O PREVISTO - MARGEM TOLERÁVEL - LIBERAR PAGAMENTO COM JUSTIFICATIVA"</formula>
    </cfRule>
    <cfRule type="cellIs" dxfId="244" priority="6" operator="equal">
      <formula>"EXECUÇÃO MUITO INFERIOR À PREVISÃO DE ACÚMULO PARA ESTE BM - SOLICITAR NOVO BM PARA LIBERAR PAGAMENTO"</formula>
    </cfRule>
  </conditionalFormatting>
  <conditionalFormatting sqref="B15:C15">
    <cfRule type="cellIs" dxfId="243" priority="3" operator="lessThanOrEqual">
      <formula>0</formula>
    </cfRule>
  </conditionalFormatting>
  <conditionalFormatting sqref="A15">
    <cfRule type="expression" dxfId="242" priority="2">
      <formula>$B$14&lt;=0</formula>
    </cfRule>
  </conditionalFormatting>
  <pageMargins left="0.51181102362204722" right="0.51181102362204722" top="1.1811023622047245" bottom="0.78740157480314965" header="0.31496062992125984" footer="0.31496062992125984"/>
  <pageSetup paperSize="9" orientation="landscape" horizontalDpi="4294967293" verticalDpi="4294967293" r:id="rId1"/>
  <headerFooter>
    <oddHeader>&amp;C&amp;G
Prefeitura Municipal de Restinga Sêca
- Acompanhamento de evolução de obra -</oddHeader>
    <oddFooter>&amp;CDocumento impresso em &amp;D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43"/>
  <sheetViews>
    <sheetView zoomScale="85" zoomScaleNormal="85" workbookViewId="0"/>
  </sheetViews>
  <sheetFormatPr defaultRowHeight="15"/>
  <cols>
    <col min="1" max="1" width="29.5703125" style="15" bestFit="1" customWidth="1"/>
    <col min="2" max="2" width="13.28515625" style="15" customWidth="1"/>
    <col min="3" max="3" width="15.42578125" style="15" customWidth="1"/>
    <col min="4" max="4" width="0.7109375" style="15" customWidth="1"/>
    <col min="5" max="5" width="3.42578125" style="15" customWidth="1"/>
    <col min="6" max="6" width="13.7109375" style="15" bestFit="1" customWidth="1"/>
    <col min="7" max="7" width="10.7109375" style="15" bestFit="1" customWidth="1"/>
    <col min="8" max="8" width="12" style="15" bestFit="1" customWidth="1"/>
    <col min="9" max="9" width="14.42578125" style="15" bestFit="1" customWidth="1"/>
    <col min="10" max="10" width="12.5703125" style="15" bestFit="1" customWidth="1"/>
    <col min="11" max="11" width="12" style="15" bestFit="1" customWidth="1"/>
    <col min="12" max="12" width="1.85546875" style="15" customWidth="1"/>
    <col min="13" max="13" width="17.7109375" style="15" customWidth="1"/>
    <col min="14" max="14" width="14.28515625" style="15" customWidth="1"/>
    <col min="15" max="15" width="16.42578125" style="15" customWidth="1"/>
    <col min="16" max="16" width="15.140625" style="15" customWidth="1"/>
    <col min="17" max="18" width="16" style="15" customWidth="1"/>
    <col min="19" max="19" width="20" style="15" customWidth="1"/>
    <col min="20" max="16384" width="9.140625" style="15"/>
  </cols>
  <sheetData>
    <row r="1" spans="1:19" ht="19.5" thickBot="1">
      <c r="A1" s="123" t="s">
        <v>98</v>
      </c>
      <c r="B1" s="326" t="s">
        <v>102</v>
      </c>
      <c r="C1" s="326"/>
      <c r="D1" s="45"/>
      <c r="E1" s="300" t="s">
        <v>103</v>
      </c>
      <c r="F1" s="300"/>
      <c r="G1" s="300"/>
      <c r="H1" s="300"/>
      <c r="I1" s="300"/>
      <c r="J1" s="300"/>
      <c r="K1" s="301"/>
      <c r="M1" s="306" t="s">
        <v>179</v>
      </c>
      <c r="N1" s="307"/>
      <c r="O1" s="307"/>
      <c r="P1" s="307"/>
      <c r="Q1" s="307"/>
      <c r="R1" s="308" t="str">
        <f>B1</f>
        <v>881.873/2018</v>
      </c>
      <c r="S1" s="309"/>
    </row>
    <row r="2" spans="1:19" ht="31.5" customHeight="1" thickBot="1">
      <c r="A2" s="48" t="s">
        <v>66</v>
      </c>
      <c r="B2" s="35">
        <v>5</v>
      </c>
      <c r="C2" s="42">
        <f>IF(B2=1,I5,IF(B2=2,I6,IF(B2=3,I7,IF(B2=4,I8,IF(B2=5,I9,IF(B2=6,I10))))))</f>
        <v>44405</v>
      </c>
      <c r="D2" s="51"/>
      <c r="E2" s="51"/>
      <c r="F2" s="50" t="s">
        <v>68</v>
      </c>
      <c r="G2" s="44">
        <f>IF(B2=1,K5-H5,IF(B2=2,K6-H6,IF(B2=3,K7-H7,IF(B2=4,K8-H8,IF(B2=5,K9-H9,IF(B2=6,K10-H10,IF(B2=7,K11-H11,IF(B2=8,K12-H12))))))))</f>
        <v>-9.3399999999999928E-2</v>
      </c>
      <c r="H2" s="282" t="str">
        <f>IF(G2&lt;=-0.0501,"EXECUÇÃO MUITO INFERIOR À PREVISÃO DE ACÚMULO PARA ESTE BM - SOLICITAR NOVO BM PARA LIBERAR PAGAMENTO",IF(G2&lt;0,"BM MENOR DO QUE O PREVISTO - MARGEM TOLERÁVEL - LIBERAR PAGAMENTO COM JUSTIFICATIVA",IF(G2&gt;=0,"BM DENTRO DO ACUMULADO PREVISTO - LIBERAR PAGAMENTO")))</f>
        <v>EXECUÇÃO MUITO INFERIOR À PREVISÃO DE ACÚMULO PARA ESTE BM - SOLICITAR NOVO BM PARA LIBERAR PAGAMENTO</v>
      </c>
      <c r="I2" s="282"/>
      <c r="J2" s="282"/>
      <c r="K2" s="283"/>
      <c r="M2" s="125" t="s">
        <v>180</v>
      </c>
      <c r="N2" s="113" t="s">
        <v>181</v>
      </c>
      <c r="O2" s="113">
        <f>N4-S7</f>
        <v>13265.790000000037</v>
      </c>
      <c r="P2" s="114" t="s">
        <v>182</v>
      </c>
      <c r="Q2" s="127">
        <f>P4-S8</f>
        <v>0</v>
      </c>
      <c r="R2" s="128" t="s">
        <v>189</v>
      </c>
      <c r="S2" s="129">
        <f>O2+Q2</f>
        <v>13265.790000000037</v>
      </c>
    </row>
    <row r="3" spans="1:19" ht="15.75" thickBot="1">
      <c r="A3" s="37" t="s">
        <v>210</v>
      </c>
      <c r="B3" s="192" t="s">
        <v>99</v>
      </c>
      <c r="C3" s="193">
        <v>44523</v>
      </c>
      <c r="D3" s="38"/>
      <c r="E3" s="285" t="s">
        <v>64</v>
      </c>
      <c r="F3" s="286"/>
      <c r="G3" s="286"/>
      <c r="H3" s="286"/>
      <c r="I3" s="287" t="s">
        <v>65</v>
      </c>
      <c r="J3" s="287"/>
      <c r="K3" s="288"/>
      <c r="M3" s="316" t="s">
        <v>183</v>
      </c>
      <c r="N3" s="317"/>
      <c r="O3" s="317"/>
      <c r="P3" s="318"/>
      <c r="Q3" s="319" t="s">
        <v>194</v>
      </c>
      <c r="R3" s="320"/>
      <c r="S3" s="130" t="s">
        <v>184</v>
      </c>
    </row>
    <row r="4" spans="1:19" ht="15.75" thickBot="1">
      <c r="A4" s="39" t="s">
        <v>211</v>
      </c>
      <c r="B4" s="194" t="s">
        <v>203</v>
      </c>
      <c r="C4" s="237">
        <v>44462</v>
      </c>
      <c r="D4" s="38"/>
      <c r="E4" s="52" t="s">
        <v>58</v>
      </c>
      <c r="F4" s="53" t="s">
        <v>61</v>
      </c>
      <c r="G4" s="54" t="s">
        <v>59</v>
      </c>
      <c r="H4" s="54" t="s">
        <v>63</v>
      </c>
      <c r="I4" s="55" t="s">
        <v>60</v>
      </c>
      <c r="J4" s="55" t="s">
        <v>62</v>
      </c>
      <c r="K4" s="56" t="s">
        <v>63</v>
      </c>
      <c r="M4" s="131" t="s">
        <v>181</v>
      </c>
      <c r="N4" s="132">
        <f>SUM(N5:N8)</f>
        <v>231618.87000000002</v>
      </c>
      <c r="O4" s="133" t="s">
        <v>182</v>
      </c>
      <c r="P4" s="134">
        <f>SUM(P5:P8)</f>
        <v>1964.5300000000002</v>
      </c>
      <c r="Q4" s="135" t="s">
        <v>181</v>
      </c>
      <c r="R4" s="109">
        <v>289523.81</v>
      </c>
      <c r="S4" s="137">
        <f>R4-N4</f>
        <v>57904.939999999973</v>
      </c>
    </row>
    <row r="5" spans="1:19" ht="15.75" thickBot="1">
      <c r="A5" s="72" t="s">
        <v>86</v>
      </c>
      <c r="B5" s="291" t="s">
        <v>100</v>
      </c>
      <c r="C5" s="291"/>
      <c r="D5" s="38"/>
      <c r="E5" s="57">
        <v>1</v>
      </c>
      <c r="F5" s="58">
        <f>B10+30</f>
        <v>44013</v>
      </c>
      <c r="G5" s="59">
        <v>0.11020000000000001</v>
      </c>
      <c r="H5" s="59">
        <f>G5</f>
        <v>0.11020000000000001</v>
      </c>
      <c r="I5" s="60">
        <v>44008</v>
      </c>
      <c r="J5" s="61">
        <v>0.11020000000000001</v>
      </c>
      <c r="K5" s="63">
        <f>J5</f>
        <v>0.11020000000000001</v>
      </c>
      <c r="M5" s="164">
        <v>43976</v>
      </c>
      <c r="N5" s="157">
        <v>58425.73</v>
      </c>
      <c r="O5" s="156">
        <v>44013</v>
      </c>
      <c r="P5" s="157">
        <v>287.05</v>
      </c>
      <c r="Q5" s="142" t="s">
        <v>182</v>
      </c>
      <c r="R5" s="109">
        <v>2604.85</v>
      </c>
      <c r="S5" s="117">
        <f>R5-P4</f>
        <v>640.31999999999971</v>
      </c>
    </row>
    <row r="6" spans="1:19" ht="15.75" thickBot="1">
      <c r="A6" s="71" t="s">
        <v>221</v>
      </c>
      <c r="B6" s="233">
        <v>292128.65999999997</v>
      </c>
      <c r="C6" s="233">
        <f>43922.24+29397.49</f>
        <v>73319.73</v>
      </c>
      <c r="D6" s="38"/>
      <c r="E6" s="57">
        <v>2</v>
      </c>
      <c r="F6" s="58">
        <f>F5+30</f>
        <v>44043</v>
      </c>
      <c r="G6" s="59">
        <v>0.12520000000000001</v>
      </c>
      <c r="H6" s="59">
        <f>H5+G6</f>
        <v>0.2354</v>
      </c>
      <c r="I6" s="60">
        <v>44043</v>
      </c>
      <c r="J6" s="61">
        <v>0.12520000000000001</v>
      </c>
      <c r="K6" s="63">
        <f>K5+J6</f>
        <v>0.2354</v>
      </c>
      <c r="M6" s="164">
        <v>44182</v>
      </c>
      <c r="N6" s="157">
        <v>173193.14</v>
      </c>
      <c r="O6" s="156">
        <v>44062</v>
      </c>
      <c r="P6" s="157">
        <v>326.18</v>
      </c>
      <c r="Q6" s="143" t="s">
        <v>195</v>
      </c>
      <c r="R6" s="347" t="s">
        <v>185</v>
      </c>
      <c r="S6" s="322"/>
    </row>
    <row r="7" spans="1:19" ht="15.75" customHeight="1" thickBot="1">
      <c r="A7" s="37" t="s">
        <v>57</v>
      </c>
      <c r="B7" s="349" t="s">
        <v>101</v>
      </c>
      <c r="C7" s="349"/>
      <c r="D7" s="38"/>
      <c r="E7" s="57">
        <v>3</v>
      </c>
      <c r="F7" s="58">
        <f t="shared" ref="F7:F10" si="0">F6+30</f>
        <v>44073</v>
      </c>
      <c r="G7" s="59">
        <v>0.1525</v>
      </c>
      <c r="H7" s="59">
        <f>H6+G7</f>
        <v>0.38790000000000002</v>
      </c>
      <c r="I7" s="60">
        <v>44188</v>
      </c>
      <c r="J7" s="61">
        <v>6.0400000000000002E-2</v>
      </c>
      <c r="K7" s="63">
        <f>K6+J7</f>
        <v>0.29580000000000001</v>
      </c>
      <c r="M7" s="122"/>
      <c r="N7" s="124"/>
      <c r="O7" s="118">
        <v>44200</v>
      </c>
      <c r="P7" s="119">
        <v>193.87</v>
      </c>
      <c r="Q7" s="348" t="s">
        <v>199</v>
      </c>
      <c r="R7" s="115" t="s">
        <v>181</v>
      </c>
      <c r="S7" s="139">
        <f>SUM(N12:N27)</f>
        <v>218353.08</v>
      </c>
    </row>
    <row r="8" spans="1:19" ht="15.75" thickBot="1">
      <c r="A8" s="209" t="s">
        <v>95</v>
      </c>
      <c r="B8" s="303">
        <v>180</v>
      </c>
      <c r="C8" s="303"/>
      <c r="D8" s="38"/>
      <c r="E8" s="57">
        <v>4</v>
      </c>
      <c r="F8" s="58">
        <f t="shared" si="0"/>
        <v>44103</v>
      </c>
      <c r="G8" s="59">
        <v>0.2838</v>
      </c>
      <c r="H8" s="59">
        <f t="shared" ref="H8:H10" si="1">H7+G8</f>
        <v>0.67169999999999996</v>
      </c>
      <c r="I8" s="60">
        <v>44188</v>
      </c>
      <c r="J8" s="61">
        <v>1.41E-2</v>
      </c>
      <c r="K8" s="63">
        <f>K7+J8</f>
        <v>0.30990000000000001</v>
      </c>
      <c r="M8" s="95"/>
      <c r="N8" s="93"/>
      <c r="O8" s="118">
        <v>44410</v>
      </c>
      <c r="P8" s="124">
        <v>1157.43</v>
      </c>
      <c r="Q8" s="324"/>
      <c r="R8" s="116" t="s">
        <v>182</v>
      </c>
      <c r="S8" s="140">
        <f>SUM(O12:O27)</f>
        <v>1964.5300000000002</v>
      </c>
    </row>
    <row r="9" spans="1:19" ht="15.75" thickBot="1">
      <c r="A9" s="76" t="s">
        <v>96</v>
      </c>
      <c r="B9" s="284">
        <f>120+90+90+60</f>
        <v>360</v>
      </c>
      <c r="C9" s="284"/>
      <c r="D9" s="38"/>
      <c r="E9" s="57">
        <v>5</v>
      </c>
      <c r="F9" s="58">
        <f t="shared" si="0"/>
        <v>44133</v>
      </c>
      <c r="G9" s="59">
        <v>0.1759</v>
      </c>
      <c r="H9" s="59">
        <f t="shared" si="1"/>
        <v>0.84759999999999991</v>
      </c>
      <c r="I9" s="60">
        <v>44405</v>
      </c>
      <c r="J9" s="61">
        <v>0.44429999999999997</v>
      </c>
      <c r="K9" s="63">
        <f t="shared" ref="K9:K10" si="2">K8+J9</f>
        <v>0.75419999999999998</v>
      </c>
      <c r="M9" s="95"/>
      <c r="N9" s="93"/>
      <c r="O9" s="93"/>
      <c r="P9" s="93"/>
      <c r="Q9" s="93"/>
      <c r="R9" s="93"/>
      <c r="S9" s="126"/>
    </row>
    <row r="10" spans="1:19" ht="15.75" thickBot="1">
      <c r="A10" s="39" t="s">
        <v>36</v>
      </c>
      <c r="B10" s="271">
        <v>43983</v>
      </c>
      <c r="C10" s="271"/>
      <c r="D10" s="40"/>
      <c r="E10" s="57">
        <v>6</v>
      </c>
      <c r="F10" s="58">
        <f t="shared" si="0"/>
        <v>44163</v>
      </c>
      <c r="G10" s="59">
        <v>0.15240000000000001</v>
      </c>
      <c r="H10" s="59">
        <f t="shared" si="1"/>
        <v>0.99999999999999989</v>
      </c>
      <c r="I10" s="62" t="s">
        <v>203</v>
      </c>
      <c r="J10" s="61" t="s">
        <v>227</v>
      </c>
      <c r="K10" s="63" t="e">
        <f t="shared" si="2"/>
        <v>#VALUE!</v>
      </c>
      <c r="M10" s="310" t="s">
        <v>186</v>
      </c>
      <c r="N10" s="311"/>
      <c r="O10" s="311"/>
      <c r="P10" s="311"/>
      <c r="Q10" s="311"/>
      <c r="R10" s="311"/>
      <c r="S10" s="312"/>
    </row>
    <row r="11" spans="1:19" ht="15.75" thickBot="1">
      <c r="A11" s="37" t="s">
        <v>69</v>
      </c>
      <c r="B11" s="272">
        <f>B10+B8+B9</f>
        <v>44523</v>
      </c>
      <c r="C11" s="272"/>
      <c r="D11" s="38"/>
      <c r="E11" s="89"/>
      <c r="F11" s="90"/>
      <c r="G11" s="91"/>
      <c r="H11" s="91"/>
      <c r="I11" s="89"/>
      <c r="J11" s="90"/>
      <c r="K11" s="96"/>
      <c r="M11" s="111" t="s">
        <v>187</v>
      </c>
      <c r="N11" s="110" t="s">
        <v>181</v>
      </c>
      <c r="O11" s="110" t="s">
        <v>182</v>
      </c>
      <c r="P11" s="110" t="s">
        <v>188</v>
      </c>
      <c r="Q11" s="110" t="s">
        <v>192</v>
      </c>
      <c r="R11" s="110" t="s">
        <v>190</v>
      </c>
      <c r="S11" s="121" t="s">
        <v>191</v>
      </c>
    </row>
    <row r="12" spans="1:19" ht="15.75" thickBot="1">
      <c r="A12" s="39" t="s">
        <v>25</v>
      </c>
      <c r="B12" s="273">
        <f>IF(B2=1,K5,IF(B2=2,K6,IF(B2=3,K7,IF(B2=4,K8,IF(B2=5,K9,IF(B2=6,K10,IF(B2=7,K11,IF(B2=8,K12))))))))</f>
        <v>0.75419999999999998</v>
      </c>
      <c r="C12" s="273"/>
      <c r="D12" s="38"/>
      <c r="E12" s="92"/>
      <c r="F12" s="90"/>
      <c r="G12" s="91"/>
      <c r="H12" s="91"/>
      <c r="I12" s="92"/>
      <c r="J12" s="90"/>
      <c r="K12" s="96"/>
      <c r="M12" s="158">
        <v>44018</v>
      </c>
      <c r="N12" s="159">
        <v>22534.080000000002</v>
      </c>
      <c r="O12" s="159">
        <v>0</v>
      </c>
      <c r="P12" s="120">
        <f>N12+O12</f>
        <v>22534.080000000002</v>
      </c>
      <c r="Q12" s="162">
        <v>29810779</v>
      </c>
      <c r="R12" s="151">
        <v>1</v>
      </c>
      <c r="S12" s="168" t="s">
        <v>198</v>
      </c>
    </row>
    <row r="13" spans="1:19">
      <c r="A13" s="37" t="s">
        <v>67</v>
      </c>
      <c r="B13" s="46">
        <f>IF(B$2=1,2,IF(B$2=2,3,IF(B$2=3,4,IF(B$2=4,5,IF(B$2=5,6,IF(B$2=6,7,IF(B$2=7,8)))))))</f>
        <v>6</v>
      </c>
      <c r="C13" s="47">
        <f>IF(B$2=1,F$6,IF(B$2=2,F$7,IF(B$2=3,F$8,IF(B$2=4,F$9,IF(B$2=5,F$10,IF(B$2=6,F$11,IF(B$2=7,F$12)))))))</f>
        <v>44163</v>
      </c>
      <c r="D13" s="38"/>
      <c r="E13" s="93"/>
      <c r="F13" s="93"/>
      <c r="G13" s="93"/>
      <c r="H13" s="93"/>
      <c r="I13" s="93"/>
      <c r="J13" s="93"/>
      <c r="K13" s="94"/>
      <c r="M13" s="178">
        <v>44018</v>
      </c>
      <c r="N13" s="179">
        <v>9370.42</v>
      </c>
      <c r="O13" s="180">
        <v>287.05</v>
      </c>
      <c r="P13" s="171">
        <f>N13+O13</f>
        <v>9657.4699999999993</v>
      </c>
      <c r="Q13" s="175">
        <v>347</v>
      </c>
      <c r="R13" s="173">
        <v>1</v>
      </c>
      <c r="S13" s="174" t="s">
        <v>198</v>
      </c>
    </row>
    <row r="14" spans="1:19" ht="30">
      <c r="A14" s="65" t="s">
        <v>84</v>
      </c>
      <c r="B14" s="274">
        <f>IF($B$2=1,H$6-K$5,IF($B$2=2,H$7-K$6,IF($B$2=3,H$8-K$7,IF($B$2=4,H$9-K$8,IF($B$2=5,H$10-K$9,IF($B$2=6,H$11-K$10,IF($B$2=7,H$12-K$11)))))))</f>
        <v>0.24579999999999991</v>
      </c>
      <c r="C14" s="274"/>
      <c r="D14" s="41"/>
      <c r="E14" s="305" t="str">
        <f ca="1">IF(TODAY()&gt;C13,"OBRA ATRASADA","")</f>
        <v>OBRA ATRASADA</v>
      </c>
      <c r="F14" s="305"/>
      <c r="G14" s="205" t="str">
        <f ca="1">IF(TODAY()&gt;C13,"EM","")</f>
        <v>EM</v>
      </c>
      <c r="H14" s="205">
        <f ca="1">IF(TODAY()&gt;C13,TODAY()-C13,"")</f>
        <v>314</v>
      </c>
      <c r="I14" s="327" t="str">
        <f ca="1">IF(TODAY()&gt;C13,"DIAS EM RELAÇÃO AO CRONOGRAMA","")</f>
        <v>DIAS EM RELAÇÃO AO CRONOGRAMA</v>
      </c>
      <c r="J14" s="327"/>
      <c r="K14" s="328"/>
      <c r="M14" s="160">
        <v>44099</v>
      </c>
      <c r="N14" s="161">
        <v>10648.09</v>
      </c>
      <c r="O14" s="159">
        <v>326.18</v>
      </c>
      <c r="P14" s="120">
        <f>N14+O14</f>
        <v>10974.27</v>
      </c>
      <c r="Q14" s="163">
        <v>202000000000003</v>
      </c>
      <c r="R14" s="151">
        <v>2</v>
      </c>
      <c r="S14" s="168" t="s">
        <v>198</v>
      </c>
    </row>
    <row r="15" spans="1:19">
      <c r="A15" s="49"/>
      <c r="B15" s="36"/>
      <c r="C15" s="36"/>
      <c r="D15" s="36"/>
      <c r="E15" s="36"/>
      <c r="F15" s="36"/>
      <c r="G15" s="36"/>
      <c r="H15" s="36"/>
      <c r="I15" s="36"/>
      <c r="J15" s="36"/>
      <c r="K15" s="64"/>
      <c r="M15" s="178">
        <v>44102</v>
      </c>
      <c r="N15" s="179">
        <v>15873.14</v>
      </c>
      <c r="O15" s="180">
        <v>0</v>
      </c>
      <c r="P15" s="171">
        <f>N15+O15</f>
        <v>15873.14</v>
      </c>
      <c r="Q15" s="181">
        <v>30276100</v>
      </c>
      <c r="R15" s="173">
        <v>2</v>
      </c>
      <c r="S15" s="174" t="s">
        <v>197</v>
      </c>
    </row>
    <row r="16" spans="1:19" ht="15" customHeight="1">
      <c r="A16" s="330" t="s">
        <v>104</v>
      </c>
      <c r="B16" s="331"/>
      <c r="C16" s="331"/>
      <c r="D16" s="36"/>
      <c r="E16" s="36"/>
      <c r="F16" s="36"/>
      <c r="G16" s="36"/>
      <c r="H16" s="36"/>
      <c r="I16" s="36"/>
      <c r="J16" s="36"/>
      <c r="K16" s="64"/>
      <c r="M16" s="158">
        <v>44187</v>
      </c>
      <c r="N16" s="159">
        <v>9733.48</v>
      </c>
      <c r="O16" s="159">
        <v>0</v>
      </c>
      <c r="P16" s="120">
        <f>N16+O16</f>
        <v>9733.48</v>
      </c>
      <c r="Q16" s="162">
        <v>30276100</v>
      </c>
      <c r="R16" s="151">
        <v>2</v>
      </c>
      <c r="S16" s="168" t="s">
        <v>198</v>
      </c>
    </row>
    <row r="17" spans="1:19">
      <c r="A17" s="330"/>
      <c r="B17" s="331"/>
      <c r="C17" s="331"/>
      <c r="D17" s="36"/>
      <c r="E17" s="36"/>
      <c r="F17" s="36"/>
      <c r="G17" s="36"/>
      <c r="H17" s="36"/>
      <c r="I17" s="36"/>
      <c r="J17" s="36"/>
      <c r="K17" s="64"/>
      <c r="M17" s="178">
        <v>44204</v>
      </c>
      <c r="N17" s="179">
        <v>12342.7</v>
      </c>
      <c r="O17" s="180">
        <v>0</v>
      </c>
      <c r="P17" s="171">
        <f t="shared" ref="P17" si="3">N17+O17</f>
        <v>12342.7</v>
      </c>
      <c r="Q17" s="181">
        <v>32440620</v>
      </c>
      <c r="R17" s="173">
        <v>3</v>
      </c>
      <c r="S17" s="174" t="s">
        <v>198</v>
      </c>
    </row>
    <row r="18" spans="1:19">
      <c r="A18" s="330"/>
      <c r="B18" s="331"/>
      <c r="C18" s="331"/>
      <c r="D18" s="36"/>
      <c r="E18" s="36"/>
      <c r="F18" s="36"/>
      <c r="G18" s="36"/>
      <c r="H18" s="36"/>
      <c r="I18" s="36"/>
      <c r="J18" s="36"/>
      <c r="K18" s="64"/>
      <c r="M18" s="158">
        <v>44204</v>
      </c>
      <c r="N18" s="159">
        <v>5132.5199999999995</v>
      </c>
      <c r="O18" s="159">
        <v>157.22</v>
      </c>
      <c r="P18" s="120">
        <f>N18+O18</f>
        <v>5289.74</v>
      </c>
      <c r="Q18" s="190">
        <v>202000000000023</v>
      </c>
      <c r="R18" s="151">
        <v>3</v>
      </c>
      <c r="S18" s="168" t="s">
        <v>198</v>
      </c>
    </row>
    <row r="19" spans="1:19">
      <c r="A19" s="330"/>
      <c r="B19" s="331"/>
      <c r="C19" s="331"/>
      <c r="D19" s="36"/>
      <c r="E19" s="36"/>
      <c r="F19" s="36"/>
      <c r="G19" s="36"/>
      <c r="H19" s="36"/>
      <c r="I19" s="36"/>
      <c r="J19" s="36"/>
      <c r="K19" s="64"/>
      <c r="M19" s="178">
        <v>44204</v>
      </c>
      <c r="N19" s="179">
        <v>2876.59</v>
      </c>
      <c r="O19" s="180">
        <v>0</v>
      </c>
      <c r="P19" s="171">
        <f t="shared" ref="P19" si="4">N19+O19</f>
        <v>2876.59</v>
      </c>
      <c r="Q19" s="181">
        <v>32440691</v>
      </c>
      <c r="R19" s="173">
        <v>4</v>
      </c>
      <c r="S19" s="174" t="s">
        <v>198</v>
      </c>
    </row>
    <row r="20" spans="1:19">
      <c r="A20" s="330"/>
      <c r="B20" s="331"/>
      <c r="C20" s="331"/>
      <c r="D20" s="36"/>
      <c r="E20" s="36"/>
      <c r="F20" s="36"/>
      <c r="G20" s="36"/>
      <c r="H20" s="36"/>
      <c r="I20" s="36"/>
      <c r="J20" s="36"/>
      <c r="K20" s="64"/>
      <c r="M20" s="122">
        <v>44204</v>
      </c>
      <c r="N20" s="119">
        <v>1196.1699999999998</v>
      </c>
      <c r="O20" s="119">
        <v>36.65</v>
      </c>
      <c r="P20" s="120">
        <f>N20+O20</f>
        <v>1232.82</v>
      </c>
      <c r="Q20" s="190">
        <v>202000000000024</v>
      </c>
      <c r="R20" s="151">
        <v>4</v>
      </c>
      <c r="S20" s="168" t="s">
        <v>198</v>
      </c>
    </row>
    <row r="21" spans="1:19">
      <c r="A21" s="49"/>
      <c r="B21" s="36"/>
      <c r="C21" s="36"/>
      <c r="D21" s="36"/>
      <c r="E21" s="36"/>
      <c r="F21" s="210"/>
      <c r="G21" s="36"/>
      <c r="H21" s="36"/>
      <c r="I21" s="36"/>
      <c r="J21" s="36"/>
      <c r="K21" s="64"/>
      <c r="M21" s="160">
        <v>44435</v>
      </c>
      <c r="N21" s="161">
        <v>128645.89</v>
      </c>
      <c r="O21" s="159">
        <v>1157.43</v>
      </c>
      <c r="P21" s="120">
        <f>N21+O21</f>
        <v>129803.31999999999</v>
      </c>
      <c r="Q21" s="163">
        <v>202100000000064</v>
      </c>
      <c r="R21" s="151">
        <v>5</v>
      </c>
      <c r="S21" s="168" t="s">
        <v>198</v>
      </c>
    </row>
    <row r="22" spans="1:19">
      <c r="A22" s="332"/>
      <c r="B22" s="333"/>
      <c r="C22" s="333"/>
      <c r="D22" s="333"/>
      <c r="E22" s="333"/>
      <c r="F22" s="333"/>
      <c r="G22" s="333"/>
      <c r="H22" s="36"/>
      <c r="I22" s="36"/>
      <c r="J22" s="36"/>
      <c r="K22" s="64"/>
      <c r="M22" s="95"/>
      <c r="N22" s="93"/>
      <c r="O22" s="93"/>
      <c r="P22" s="120">
        <f t="shared" ref="P22:P26" si="5">N22+O22</f>
        <v>0</v>
      </c>
      <c r="Q22" s="93"/>
      <c r="R22" s="151"/>
      <c r="S22" s="94"/>
    </row>
    <row r="23" spans="1:19">
      <c r="A23" s="154"/>
      <c r="B23" s="334"/>
      <c r="C23" s="350"/>
      <c r="D23" s="350"/>
      <c r="E23" s="350"/>
      <c r="F23" s="350"/>
      <c r="G23" s="350"/>
      <c r="H23" s="36"/>
      <c r="I23" s="36"/>
      <c r="J23" s="36"/>
      <c r="K23" s="64"/>
      <c r="M23" s="95"/>
      <c r="N23" s="93"/>
      <c r="O23" s="93"/>
      <c r="P23" s="120">
        <f t="shared" si="5"/>
        <v>0</v>
      </c>
      <c r="Q23" s="93"/>
      <c r="R23" s="151"/>
      <c r="S23" s="94"/>
    </row>
    <row r="24" spans="1:19">
      <c r="A24" s="154"/>
      <c r="B24" s="334"/>
      <c r="C24" s="350"/>
      <c r="D24" s="350"/>
      <c r="E24" s="350"/>
      <c r="F24" s="350"/>
      <c r="G24" s="350"/>
      <c r="H24" s="36"/>
      <c r="I24" s="36"/>
      <c r="J24" s="36"/>
      <c r="K24" s="64"/>
      <c r="M24" s="95"/>
      <c r="N24" s="93"/>
      <c r="O24" s="93"/>
      <c r="P24" s="120">
        <f t="shared" si="5"/>
        <v>0</v>
      </c>
      <c r="Q24" s="93"/>
      <c r="R24" s="151"/>
      <c r="S24" s="94"/>
    </row>
    <row r="25" spans="1:19">
      <c r="A25" s="154"/>
      <c r="B25" s="334"/>
      <c r="C25" s="334"/>
      <c r="D25" s="334"/>
      <c r="E25" s="334"/>
      <c r="F25" s="334"/>
      <c r="G25" s="334"/>
      <c r="H25" s="36"/>
      <c r="I25" s="36"/>
      <c r="J25" s="36"/>
      <c r="K25" s="64"/>
      <c r="M25" s="95"/>
      <c r="N25" s="93"/>
      <c r="O25" s="93"/>
      <c r="P25" s="120">
        <f t="shared" si="5"/>
        <v>0</v>
      </c>
      <c r="Q25" s="93"/>
      <c r="R25" s="151"/>
      <c r="S25" s="94"/>
    </row>
    <row r="26" spans="1:19">
      <c r="A26" s="154"/>
      <c r="B26" s="334"/>
      <c r="C26" s="334"/>
      <c r="D26" s="334"/>
      <c r="E26" s="334"/>
      <c r="F26" s="334"/>
      <c r="G26" s="334"/>
      <c r="H26" s="36"/>
      <c r="I26" s="36"/>
      <c r="J26" s="36"/>
      <c r="K26" s="64"/>
      <c r="M26" s="95"/>
      <c r="N26" s="93"/>
      <c r="O26" s="93"/>
      <c r="P26" s="120">
        <f t="shared" si="5"/>
        <v>0</v>
      </c>
      <c r="Q26" s="93"/>
      <c r="R26" s="151"/>
      <c r="S26" s="94"/>
    </row>
    <row r="27" spans="1:19">
      <c r="A27" s="281" t="s">
        <v>168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M27" s="313" t="s">
        <v>193</v>
      </c>
      <c r="N27" s="314"/>
      <c r="O27" s="314"/>
      <c r="P27" s="314"/>
      <c r="Q27" s="314"/>
      <c r="R27" s="315"/>
      <c r="S27" s="141">
        <f>SUM(P12:P26)</f>
        <v>220317.61</v>
      </c>
    </row>
    <row r="29" spans="1:19">
      <c r="N29" s="189"/>
      <c r="O29" s="189"/>
    </row>
    <row r="30" spans="1:19" ht="16.5" thickBot="1">
      <c r="A30" s="123" t="s">
        <v>98</v>
      </c>
      <c r="B30" s="326" t="s">
        <v>102</v>
      </c>
      <c r="C30" s="326"/>
      <c r="D30" s="45"/>
      <c r="E30" s="300" t="s">
        <v>103</v>
      </c>
      <c r="F30" s="300"/>
      <c r="G30" s="300"/>
      <c r="H30" s="300"/>
      <c r="I30" s="300"/>
      <c r="J30" s="300"/>
      <c r="K30" s="301"/>
    </row>
    <row r="31" spans="1:19" ht="16.5" thickBot="1">
      <c r="A31" s="48" t="s">
        <v>66</v>
      </c>
      <c r="B31" s="35">
        <v>4</v>
      </c>
      <c r="C31" s="42">
        <f>IF(B31=1,I34,IF(B31=2,I35,IF(B31=3,I36,IF(B31=4,I37,IF(B31=5,I38,IF(B31=6,I39))))))</f>
        <v>44102</v>
      </c>
      <c r="D31" s="51"/>
      <c r="E31" s="51"/>
      <c r="F31" s="50" t="s">
        <v>68</v>
      </c>
      <c r="G31" s="44">
        <f>IF(B31=1,K34-H34,IF(B31=2,K35-H35,IF(B31=3,K36-H36,IF(B31=4,K37-H37,IF(B31=5,K38-H38,IF(B31=6,K39-H39,IF(B31=7,K40-H40,IF(B31=8,K41-H41))))))))</f>
        <v>0</v>
      </c>
      <c r="H31" s="282" t="str">
        <f>IF(G31&lt;=-0.0501,"EXECUÇÃO MUITO INFERIOR À PREVISÃO DE ACÚMULO PARA ESTE BM - SOLICITAR NOVO BM PARA LIBERAR PAGAMENTO",IF(G31&lt;0,"BM MENOR DO QUE O PREVISTO - MARGEM TOLERÁVEL - LIBERAR PAGAMENTO COM JUSTIFICATIVA",IF(G31&gt;=0,"BM DENTRO DO ACUMULADO PREVISTO - LIBERAR PAGAMENTO")))</f>
        <v>BM DENTRO DO ACUMULADO PREVISTO - LIBERAR PAGAMENTO</v>
      </c>
      <c r="I31" s="282"/>
      <c r="J31" s="282"/>
      <c r="K31" s="283"/>
    </row>
    <row r="32" spans="1:19" ht="15.75" thickBot="1">
      <c r="A32" s="37" t="s">
        <v>210</v>
      </c>
      <c r="B32" s="192" t="s">
        <v>99</v>
      </c>
      <c r="C32" s="193">
        <v>44373</v>
      </c>
      <c r="D32" s="38"/>
      <c r="E32" s="285" t="s">
        <v>64</v>
      </c>
      <c r="F32" s="286"/>
      <c r="G32" s="286"/>
      <c r="H32" s="286"/>
      <c r="I32" s="287" t="s">
        <v>65</v>
      </c>
      <c r="J32" s="287"/>
      <c r="K32" s="288"/>
    </row>
    <row r="33" spans="1:11" ht="15.75" thickBot="1">
      <c r="A33" s="39" t="s">
        <v>211</v>
      </c>
      <c r="B33" s="194" t="s">
        <v>203</v>
      </c>
      <c r="C33" s="214">
        <v>44462</v>
      </c>
      <c r="D33" s="38"/>
      <c r="E33" s="52" t="s">
        <v>58</v>
      </c>
      <c r="F33" s="53" t="s">
        <v>61</v>
      </c>
      <c r="G33" s="54" t="s">
        <v>59</v>
      </c>
      <c r="H33" s="54" t="s">
        <v>63</v>
      </c>
      <c r="I33" s="55" t="s">
        <v>60</v>
      </c>
      <c r="J33" s="55" t="s">
        <v>62</v>
      </c>
      <c r="K33" s="56" t="s">
        <v>63</v>
      </c>
    </row>
    <row r="34" spans="1:11" ht="15.75" thickBot="1">
      <c r="A34" s="72" t="s">
        <v>86</v>
      </c>
      <c r="B34" s="291" t="s">
        <v>100</v>
      </c>
      <c r="C34" s="291"/>
      <c r="D34" s="38"/>
      <c r="E34" s="57">
        <v>1</v>
      </c>
      <c r="F34" s="58">
        <f>B39+30</f>
        <v>44013</v>
      </c>
      <c r="G34" s="59">
        <v>0.11020000000000001</v>
      </c>
      <c r="H34" s="59">
        <f>G34</f>
        <v>0.11020000000000001</v>
      </c>
      <c r="I34" s="60">
        <v>44008</v>
      </c>
      <c r="J34" s="61">
        <v>0.11020000000000001</v>
      </c>
      <c r="K34" s="63">
        <f>J34</f>
        <v>0.11020000000000001</v>
      </c>
    </row>
    <row r="35" spans="1:11" ht="15.75" thickBot="1">
      <c r="A35" s="71" t="s">
        <v>88</v>
      </c>
      <c r="B35" s="337">
        <v>292128.65999999997</v>
      </c>
      <c r="C35" s="337"/>
      <c r="D35" s="38"/>
      <c r="E35" s="57">
        <v>2</v>
      </c>
      <c r="F35" s="58">
        <f>F34+30</f>
        <v>44043</v>
      </c>
      <c r="G35" s="59">
        <v>0.12520000000000001</v>
      </c>
      <c r="H35" s="59">
        <f>H34+G35</f>
        <v>0.2354</v>
      </c>
      <c r="I35" s="60">
        <v>44043</v>
      </c>
      <c r="J35" s="61">
        <v>0.12520000000000001</v>
      </c>
      <c r="K35" s="63">
        <f>K34+J35</f>
        <v>0.2354</v>
      </c>
    </row>
    <row r="36" spans="1:11" ht="15.75" thickBot="1">
      <c r="A36" s="37" t="s">
        <v>57</v>
      </c>
      <c r="B36" s="349" t="s">
        <v>101</v>
      </c>
      <c r="C36" s="349"/>
      <c r="D36" s="38"/>
      <c r="E36" s="57">
        <v>3</v>
      </c>
      <c r="F36" s="58">
        <f t="shared" ref="F36:F39" si="6">F35+30</f>
        <v>44073</v>
      </c>
      <c r="G36" s="59">
        <v>0.1525</v>
      </c>
      <c r="H36" s="59">
        <f>H35+G36</f>
        <v>0.38790000000000002</v>
      </c>
      <c r="I36" s="60">
        <v>44071</v>
      </c>
      <c r="J36" s="61">
        <v>0.1525</v>
      </c>
      <c r="K36" s="63">
        <f>K35+J36</f>
        <v>0.38790000000000002</v>
      </c>
    </row>
    <row r="37" spans="1:11" ht="15.75" thickBot="1">
      <c r="A37" s="209" t="s">
        <v>95</v>
      </c>
      <c r="B37" s="303">
        <v>180</v>
      </c>
      <c r="C37" s="303"/>
      <c r="D37" s="38"/>
      <c r="E37" s="57">
        <v>4</v>
      </c>
      <c r="F37" s="58">
        <f t="shared" si="6"/>
        <v>44103</v>
      </c>
      <c r="G37" s="59">
        <v>0.2838</v>
      </c>
      <c r="H37" s="59">
        <f t="shared" ref="H37:H39" si="7">H36+G37</f>
        <v>0.67169999999999996</v>
      </c>
      <c r="I37" s="60">
        <v>44102</v>
      </c>
      <c r="J37" s="61">
        <v>0.2838</v>
      </c>
      <c r="K37" s="63">
        <f>K36+J37</f>
        <v>0.67169999999999996</v>
      </c>
    </row>
    <row r="38" spans="1:11" ht="15.75" thickBot="1">
      <c r="A38" s="76" t="s">
        <v>96</v>
      </c>
      <c r="B38" s="284">
        <f>120+90</f>
        <v>210</v>
      </c>
      <c r="C38" s="284"/>
      <c r="D38" s="38"/>
      <c r="E38" s="57">
        <v>5</v>
      </c>
      <c r="F38" s="58">
        <f t="shared" si="6"/>
        <v>44133</v>
      </c>
      <c r="G38" s="59">
        <v>0.1759</v>
      </c>
      <c r="H38" s="59">
        <f t="shared" si="7"/>
        <v>0.84759999999999991</v>
      </c>
      <c r="I38" s="60"/>
      <c r="J38" s="61"/>
      <c r="K38" s="63">
        <f t="shared" ref="K38:K39" si="8">K37+J38</f>
        <v>0.67169999999999996</v>
      </c>
    </row>
    <row r="39" spans="1:11" ht="15.75" thickBot="1">
      <c r="A39" s="39" t="s">
        <v>36</v>
      </c>
      <c r="B39" s="271">
        <v>43983</v>
      </c>
      <c r="C39" s="271"/>
      <c r="D39" s="40"/>
      <c r="E39" s="57">
        <v>6</v>
      </c>
      <c r="F39" s="58">
        <f t="shared" si="6"/>
        <v>44163</v>
      </c>
      <c r="G39" s="59">
        <v>0.15240000000000001</v>
      </c>
      <c r="H39" s="59">
        <f t="shared" si="7"/>
        <v>0.99999999999999989</v>
      </c>
      <c r="I39" s="62"/>
      <c r="J39" s="61"/>
      <c r="K39" s="63">
        <f t="shared" si="8"/>
        <v>0.67169999999999996</v>
      </c>
    </row>
    <row r="40" spans="1:11" ht="15.75" thickBot="1">
      <c r="A40" s="37" t="s">
        <v>69</v>
      </c>
      <c r="B40" s="272">
        <f>B39+B37+B38</f>
        <v>44373</v>
      </c>
      <c r="C40" s="272"/>
      <c r="D40" s="38"/>
      <c r="E40" s="89"/>
      <c r="F40" s="90"/>
      <c r="G40" s="91"/>
      <c r="H40" s="91"/>
      <c r="I40" s="89"/>
      <c r="J40" s="90"/>
      <c r="K40" s="96"/>
    </row>
    <row r="41" spans="1:11" ht="15.75" thickBot="1">
      <c r="A41" s="39" t="s">
        <v>25</v>
      </c>
      <c r="B41" s="273">
        <f>IF(B31=1,K34,IF(B31=2,K35,IF(B31=3,K36,IF(B31=4,K37,IF(B31=5,K38,IF(B31=6,K39,IF(B31=7,K40,IF(B31=8,K41))))))))</f>
        <v>0.67169999999999996</v>
      </c>
      <c r="C41" s="273"/>
      <c r="D41" s="38"/>
      <c r="E41" s="92"/>
      <c r="F41" s="90"/>
      <c r="G41" s="91"/>
      <c r="H41" s="91"/>
      <c r="I41" s="92"/>
      <c r="J41" s="90"/>
      <c r="K41" s="96"/>
    </row>
    <row r="42" spans="1:11">
      <c r="A42" s="37" t="s">
        <v>67</v>
      </c>
      <c r="B42" s="46">
        <f>IF(B$2=1,2,IF(B$2=2,3,IF(B$2=3,4,IF(B$2=4,5,IF(B$2=5,6,IF(B$2=6,7,IF(B$2=7,8)))))))</f>
        <v>6</v>
      </c>
      <c r="C42" s="215">
        <f>IF(B$2=1,F$6,IF(B$2=2,F$7,IF(B$2=3,F$8,IF(B$2=4,F$9,IF(B$2=5,F$10,IF(B$2=6,F$11,IF(B$2=7,F$12)))))))</f>
        <v>44163</v>
      </c>
      <c r="D42" s="38"/>
      <c r="E42" s="93"/>
      <c r="F42" s="93"/>
      <c r="G42" s="93"/>
      <c r="H42" s="93"/>
      <c r="I42" s="93"/>
      <c r="J42" s="93"/>
      <c r="K42" s="94"/>
    </row>
    <row r="43" spans="1:11" ht="30">
      <c r="A43" s="65" t="s">
        <v>84</v>
      </c>
      <c r="B43" s="274">
        <f>IF($B$2=1,H$6-K$5,IF($B$2=2,H$7-K$6,IF($B$2=3,H$8-K$7,IF($B$2=4,H$9-K$8,IF($B$2=5,H$10-K$9,IF($B$2=6,H$11-K$10,IF($B$2=7,H$12-K$11)))))))</f>
        <v>0.24579999999999991</v>
      </c>
      <c r="C43" s="274"/>
      <c r="D43" s="41"/>
      <c r="E43" s="305" t="str">
        <f ca="1">IF(TODAY()&gt;C42,"OBRA ATRASADA","")</f>
        <v>OBRA ATRASADA</v>
      </c>
      <c r="F43" s="305"/>
      <c r="G43" s="213" t="str">
        <f ca="1">IF(TODAY()&gt;C42,"EM","")</f>
        <v>EM</v>
      </c>
      <c r="H43" s="213">
        <f ca="1">IF(TODAY()&gt;C42,TODAY()-C42,"")</f>
        <v>314</v>
      </c>
      <c r="I43" s="327" t="str">
        <f ca="1">IF(TODAY()&gt;C42,"DIAS EM RELAÇÃO AO CRONOGRAMA","")</f>
        <v>DIAS EM RELAÇÃO AO CRONOGRAMA</v>
      </c>
      <c r="J43" s="327"/>
      <c r="K43" s="328"/>
    </row>
  </sheetData>
  <mergeCells count="46">
    <mergeCell ref="I43:K43"/>
    <mergeCell ref="B39:C39"/>
    <mergeCell ref="B40:C40"/>
    <mergeCell ref="B41:C41"/>
    <mergeCell ref="B43:C43"/>
    <mergeCell ref="E43:F43"/>
    <mergeCell ref="B34:C34"/>
    <mergeCell ref="B35:C35"/>
    <mergeCell ref="B36:C36"/>
    <mergeCell ref="B37:C37"/>
    <mergeCell ref="B38:C38"/>
    <mergeCell ref="B30:C30"/>
    <mergeCell ref="E30:K30"/>
    <mergeCell ref="H31:K31"/>
    <mergeCell ref="E32:H32"/>
    <mergeCell ref="I32:K32"/>
    <mergeCell ref="A27:K27"/>
    <mergeCell ref="A22:G22"/>
    <mergeCell ref="B14:C14"/>
    <mergeCell ref="E14:F14"/>
    <mergeCell ref="B23:G23"/>
    <mergeCell ref="B24:G24"/>
    <mergeCell ref="I14:K14"/>
    <mergeCell ref="A16:C20"/>
    <mergeCell ref="B25:G25"/>
    <mergeCell ref="B26:G26"/>
    <mergeCell ref="B5:C5"/>
    <mergeCell ref="B1:C1"/>
    <mergeCell ref="E1:K1"/>
    <mergeCell ref="H2:K2"/>
    <mergeCell ref="E3:H3"/>
    <mergeCell ref="I3:K3"/>
    <mergeCell ref="B7:C7"/>
    <mergeCell ref="B8:C8"/>
    <mergeCell ref="B9:C9"/>
    <mergeCell ref="B12:C12"/>
    <mergeCell ref="B10:C10"/>
    <mergeCell ref="B11:C11"/>
    <mergeCell ref="M1:Q1"/>
    <mergeCell ref="R1:S1"/>
    <mergeCell ref="M10:S10"/>
    <mergeCell ref="M27:R27"/>
    <mergeCell ref="M3:P3"/>
    <mergeCell ref="Q3:R3"/>
    <mergeCell ref="R6:S6"/>
    <mergeCell ref="Q7:Q8"/>
  </mergeCells>
  <conditionalFormatting sqref="G2">
    <cfRule type="cellIs" dxfId="241" priority="55" operator="greaterThanOrEqual">
      <formula>0</formula>
    </cfRule>
    <cfRule type="cellIs" dxfId="240" priority="56" operator="lessThan">
      <formula>0</formula>
    </cfRule>
  </conditionalFormatting>
  <conditionalFormatting sqref="E14">
    <cfRule type="containsText" dxfId="239" priority="54" operator="containsText" text="OBRA ATRASADA">
      <formula>NOT(ISERROR(SEARCH("OBRA ATRASADA",E14)))</formula>
    </cfRule>
  </conditionalFormatting>
  <conditionalFormatting sqref="H2">
    <cfRule type="cellIs" dxfId="238" priority="51" operator="equal">
      <formula>"BM DENTRO DO ACUMULADO PREVISTO - PODE SER PAGO"</formula>
    </cfRule>
    <cfRule type="cellIs" dxfId="237" priority="52" operator="equal">
      <formula>"BM MENOR DO QUE O PREVISO - MARGEM TOLERÁVEL - LIBERAR PAGAMENTO COM JUSTIFICATIVA"</formula>
    </cfRule>
    <cfRule type="cellIs" dxfId="236" priority="53" operator="equal">
      <formula>"EXECUÇÃO MUITO INFERIOR À PREVISÃO DE ACÚMULO PARA ESTE BM - AGUARDANDO NOVO BM PARA LIBERAR PAGAMENTO"</formula>
    </cfRule>
  </conditionalFormatting>
  <conditionalFormatting sqref="H2">
    <cfRule type="cellIs" dxfId="235" priority="48" operator="equal">
      <formula>"PAGAMENTO DO BM LIBERADO"</formula>
    </cfRule>
    <cfRule type="cellIs" dxfId="234" priority="49" operator="equal">
      <formula>"BM MENOR DO QUE O PREVISO - MARGEM TOLERÁVEL - LIBERAR PAGAMENTO COM JUSTIFICATIVA"</formula>
    </cfRule>
    <cfRule type="cellIs" dxfId="233" priority="50" operator="equal">
      <formula>"EXECUÇÃO MUITO INFERIOR À PREVISTA PARA ESTE BM - AGUARDANDO NOVO BM PARA LIBERAR PAGAMENTO"</formula>
    </cfRule>
  </conditionalFormatting>
  <conditionalFormatting sqref="H2">
    <cfRule type="cellIs" dxfId="232" priority="45" operator="equal">
      <formula>"BM DENTRO DO ACUMULADO PREVISTO - PODE SER PAGO"</formula>
    </cfRule>
    <cfRule type="cellIs" dxfId="231" priority="46" operator="equal">
      <formula>"BM MENOR DO QUE O PREVISO - MARGEM TOLERÁVEL - LIBERAR PAGAMENTO COM JUSTIFICATIVA"</formula>
    </cfRule>
    <cfRule type="cellIs" dxfId="230" priority="47" operator="equal">
      <formula>"EXECUÇÃO MUITO INFERIOR À PREVISÃO DE ACÚMULO PARA ESTE BM - SOLICITAR NOVO BM PARA LIBERAR PAGAMENTO"</formula>
    </cfRule>
  </conditionalFormatting>
  <conditionalFormatting sqref="C13">
    <cfRule type="expression" dxfId="229" priority="44">
      <formula>C13&lt;(TODAY())</formula>
    </cfRule>
  </conditionalFormatting>
  <conditionalFormatting sqref="H2">
    <cfRule type="cellIs" dxfId="228" priority="41" operator="equal">
      <formula>"BM DENTRO DO ACUMULADO PREVISTO - LIBERAR PAGAMENTO"</formula>
    </cfRule>
    <cfRule type="cellIs" dxfId="227" priority="42" operator="equal">
      <formula>"BM MENOR DO QUE O PREVISTO - MARGEM TOLERÁVEL - LIBERAR PAGAMENTO COM JUSTIFICATIVA"</formula>
    </cfRule>
    <cfRule type="cellIs" dxfId="226" priority="43" operator="equal">
      <formula>"EXECUÇÃO MUITO INFERIOR À PREVISÃO DE ACÚMULO PARA ESTE BM - SOLICITAR NOVO BM PARA LIBERAR PAGAMENTO"</formula>
    </cfRule>
  </conditionalFormatting>
  <conditionalFormatting sqref="B14:C14">
    <cfRule type="cellIs" dxfId="225" priority="40" operator="lessThanOrEqual">
      <formula>0</formula>
    </cfRule>
  </conditionalFormatting>
  <conditionalFormatting sqref="A14">
    <cfRule type="expression" dxfId="224" priority="39">
      <formula>$B$13&lt;=0</formula>
    </cfRule>
  </conditionalFormatting>
  <conditionalFormatting sqref="P14:P15 P21:P26">
    <cfRule type="cellIs" dxfId="223" priority="37" operator="lessThanOrEqual">
      <formula>0</formula>
    </cfRule>
  </conditionalFormatting>
  <conditionalFormatting sqref="G31">
    <cfRule type="cellIs" dxfId="222" priority="17" operator="greaterThanOrEqual">
      <formula>0</formula>
    </cfRule>
    <cfRule type="cellIs" dxfId="221" priority="18" operator="lessThan">
      <formula>0</formula>
    </cfRule>
  </conditionalFormatting>
  <conditionalFormatting sqref="E43">
    <cfRule type="containsText" dxfId="220" priority="16" operator="containsText" text="OBRA ATRASADA">
      <formula>NOT(ISERROR(SEARCH("OBRA ATRASADA",E43)))</formula>
    </cfRule>
  </conditionalFormatting>
  <conditionalFormatting sqref="H31">
    <cfRule type="cellIs" dxfId="219" priority="13" operator="equal">
      <formula>"BM DENTRO DO ACUMULADO PREVISTO - PODE SER PAGO"</formula>
    </cfRule>
    <cfRule type="cellIs" dxfId="218" priority="14" operator="equal">
      <formula>"BM MENOR DO QUE O PREVISO - MARGEM TOLERÁVEL - LIBERAR PAGAMENTO COM JUSTIFICATIVA"</formula>
    </cfRule>
    <cfRule type="cellIs" dxfId="217" priority="15" operator="equal">
      <formula>"EXECUÇÃO MUITO INFERIOR À PREVISÃO DE ACÚMULO PARA ESTE BM - AGUARDANDO NOVO BM PARA LIBERAR PAGAMENTO"</formula>
    </cfRule>
  </conditionalFormatting>
  <conditionalFormatting sqref="H31">
    <cfRule type="cellIs" dxfId="216" priority="10" operator="equal">
      <formula>"PAGAMENTO DO BM LIBERADO"</formula>
    </cfRule>
    <cfRule type="cellIs" dxfId="215" priority="11" operator="equal">
      <formula>"BM MENOR DO QUE O PREVISO - MARGEM TOLERÁVEL - LIBERAR PAGAMENTO COM JUSTIFICATIVA"</formula>
    </cfRule>
    <cfRule type="cellIs" dxfId="214" priority="12" operator="equal">
      <formula>"EXECUÇÃO MUITO INFERIOR À PREVISTA PARA ESTE BM - AGUARDANDO NOVO BM PARA LIBERAR PAGAMENTO"</formula>
    </cfRule>
  </conditionalFormatting>
  <conditionalFormatting sqref="H31">
    <cfRule type="cellIs" dxfId="213" priority="7" operator="equal">
      <formula>"BM DENTRO DO ACUMULADO PREVISTO - PODE SER PAGO"</formula>
    </cfRule>
    <cfRule type="cellIs" dxfId="212" priority="8" operator="equal">
      <formula>"BM MENOR DO QUE O PREVISO - MARGEM TOLERÁVEL - LIBERAR PAGAMENTO COM JUSTIFICATIVA"</formula>
    </cfRule>
    <cfRule type="cellIs" dxfId="211" priority="9" operator="equal">
      <formula>"EXECUÇÃO MUITO INFERIOR À PREVISÃO DE ACÚMULO PARA ESTE BM - SOLICITAR NOVO BM PARA LIBERAR PAGAMENTO"</formula>
    </cfRule>
  </conditionalFormatting>
  <conditionalFormatting sqref="C42">
    <cfRule type="expression" dxfId="210" priority="6">
      <formula>C42&lt;(TODAY())</formula>
    </cfRule>
  </conditionalFormatting>
  <conditionalFormatting sqref="H31">
    <cfRule type="cellIs" dxfId="209" priority="3" operator="equal">
      <formula>"BM DENTRO DO ACUMULADO PREVISTO - LIBERAR PAGAMENTO"</formula>
    </cfRule>
    <cfRule type="cellIs" dxfId="208" priority="4" operator="equal">
      <formula>"BM MENOR DO QUE O PREVISTO - MARGEM TOLERÁVEL - LIBERAR PAGAMENTO COM JUSTIFICATIVA"</formula>
    </cfRule>
    <cfRule type="cellIs" dxfId="207" priority="5" operator="equal">
      <formula>"EXECUÇÃO MUITO INFERIOR À PREVISÃO DE ACÚMULO PARA ESTE BM - SOLICITAR NOVO BM PARA LIBERAR PAGAMENTO"</formula>
    </cfRule>
  </conditionalFormatting>
  <conditionalFormatting sqref="B43:C43">
    <cfRule type="cellIs" dxfId="206" priority="2" operator="lessThanOrEqual">
      <formula>0</formula>
    </cfRule>
  </conditionalFormatting>
  <conditionalFormatting sqref="A43">
    <cfRule type="expression" dxfId="205" priority="1">
      <formula>$B$13&lt;=0</formula>
    </cfRule>
  </conditionalFormatting>
  <printOptions horizontalCentered="1"/>
  <pageMargins left="0.51181102362204722" right="0.51181102362204722" top="1.1811023622047245" bottom="0.78740157480314965" header="0.31496062992125984" footer="0.31496062992125984"/>
  <pageSetup paperSize="9" orientation="landscape" horizontalDpi="300" verticalDpi="4294967293" r:id="rId1"/>
  <headerFooter>
    <oddHeader>&amp;C&amp;G
Prefeitura Municipal de Restinga Sêca
- Acompanhamento de evolução de obra -</oddHeader>
    <oddFooter>&amp;CDocumento impresso em &amp;D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1"/>
  <sheetViews>
    <sheetView tabSelected="1" zoomScale="85" zoomScaleNormal="85" workbookViewId="0"/>
  </sheetViews>
  <sheetFormatPr defaultRowHeight="15"/>
  <cols>
    <col min="1" max="1" width="27.140625" style="15" bestFit="1" customWidth="1"/>
    <col min="2" max="2" width="13.28515625" style="15" customWidth="1"/>
    <col min="3" max="3" width="15.42578125" style="15" customWidth="1"/>
    <col min="4" max="4" width="0.7109375" style="15" customWidth="1"/>
    <col min="5" max="5" width="3.5703125" style="15" customWidth="1"/>
    <col min="6" max="6" width="13.140625" style="15" customWidth="1"/>
    <col min="7" max="7" width="10.85546875" style="15" bestFit="1" customWidth="1"/>
    <col min="8" max="8" width="12.140625" style="15" bestFit="1" customWidth="1"/>
    <col min="9" max="9" width="14.5703125" style="15" bestFit="1" customWidth="1"/>
    <col min="10" max="10" width="12.7109375" style="15" bestFit="1" customWidth="1"/>
    <col min="11" max="11" width="12.140625" style="15" bestFit="1" customWidth="1"/>
    <col min="12" max="12" width="1.85546875" style="15" customWidth="1"/>
    <col min="13" max="13" width="17.7109375" style="15" customWidth="1"/>
    <col min="14" max="14" width="14.28515625" style="15" customWidth="1"/>
    <col min="15" max="15" width="16.42578125" style="15" customWidth="1"/>
    <col min="16" max="16" width="15.140625" style="15" customWidth="1"/>
    <col min="17" max="17" width="19.28515625" style="15" bestFit="1" customWidth="1"/>
    <col min="18" max="18" width="16" style="15" customWidth="1"/>
    <col min="19" max="19" width="20" style="15" customWidth="1"/>
    <col min="20" max="20" width="14.140625" style="15" bestFit="1" customWidth="1"/>
    <col min="21" max="16384" width="9.140625" style="15"/>
  </cols>
  <sheetData>
    <row r="1" spans="1:20" ht="19.5" thickBot="1">
      <c r="A1" s="123" t="s">
        <v>98</v>
      </c>
      <c r="B1" s="326" t="s">
        <v>107</v>
      </c>
      <c r="C1" s="326"/>
      <c r="D1" s="45"/>
      <c r="E1" s="300" t="s">
        <v>108</v>
      </c>
      <c r="F1" s="300"/>
      <c r="G1" s="300"/>
      <c r="H1" s="300"/>
      <c r="I1" s="300"/>
      <c r="J1" s="300"/>
      <c r="K1" s="301"/>
      <c r="M1" s="306" t="s">
        <v>179</v>
      </c>
      <c r="N1" s="307"/>
      <c r="O1" s="307"/>
      <c r="P1" s="307"/>
      <c r="Q1" s="307"/>
      <c r="R1" s="308" t="str">
        <f>B1</f>
        <v>878.460/2018</v>
      </c>
      <c r="S1" s="309"/>
    </row>
    <row r="2" spans="1:20" ht="31.5" customHeight="1" thickBot="1">
      <c r="A2" s="48" t="s">
        <v>66</v>
      </c>
      <c r="B2" s="35">
        <v>4</v>
      </c>
      <c r="C2" s="42">
        <f>IF(B2=1,I5,IF(B2=2,I6,IF(B2=3,I7,IF(B2=4,I8,IF(B2=5,I9,IF(B2=6,I10))))))</f>
        <v>44438</v>
      </c>
      <c r="D2" s="51"/>
      <c r="E2" s="51"/>
      <c r="F2" s="50" t="s">
        <v>68</v>
      </c>
      <c r="G2" s="44">
        <f>IF(B2=1,K5-H5,IF(B2=2,K6-H6,IF(B2=3,K7-H7,IF(B2=4,K8-H8,IF(B2=5,K9-H9,IF(B2=6,K10-H10,IF(B2=7,K11-H11,IF(B2=8,K12-H12))))))))</f>
        <v>0.15489999999999982</v>
      </c>
      <c r="H2" s="282" t="str">
        <f>IF(G2&lt;=-0.0501,"EXECUÇÃO MUITO INFERIOR À PREVISÃO DE ACÚMULO PARA ESTE BM - SOLICITAR NOVO BM PARA LIBERAR PAGAMENTO",IF(G2&lt;0,"BM MENOR DO QUE O PREVISTO - MARGEM TOLERÁVEL - LIBERAR PAGAMENTO COM JUSTIFICATIVA",IF(G2&gt;=0,"BM DENTRO DO ACUMULADO PREVISTO - LIBERAR PAGAMENTO")))</f>
        <v>BM DENTRO DO ACUMULADO PREVISTO - LIBERAR PAGAMENTO</v>
      </c>
      <c r="I2" s="282"/>
      <c r="J2" s="282"/>
      <c r="K2" s="283"/>
      <c r="M2" s="125" t="s">
        <v>180</v>
      </c>
      <c r="N2" s="113" t="s">
        <v>181</v>
      </c>
      <c r="O2" s="113">
        <f>N4-S7</f>
        <v>55354.409999999974</v>
      </c>
      <c r="P2" s="114" t="s">
        <v>182</v>
      </c>
      <c r="Q2" s="127">
        <f>P4-S8</f>
        <v>0</v>
      </c>
      <c r="R2" s="128" t="s">
        <v>189</v>
      </c>
      <c r="S2" s="129">
        <f>O2+Q2</f>
        <v>55354.409999999974</v>
      </c>
    </row>
    <row r="3" spans="1:20" ht="15.75" thickBot="1">
      <c r="A3" s="37" t="s">
        <v>210</v>
      </c>
      <c r="B3" s="192" t="s">
        <v>109</v>
      </c>
      <c r="C3" s="193">
        <f>B11</f>
        <v>44507</v>
      </c>
      <c r="D3" s="38"/>
      <c r="E3" s="285" t="s">
        <v>64</v>
      </c>
      <c r="F3" s="286"/>
      <c r="G3" s="286"/>
      <c r="H3" s="286"/>
      <c r="I3" s="287" t="s">
        <v>65</v>
      </c>
      <c r="J3" s="287"/>
      <c r="K3" s="288"/>
      <c r="M3" s="316" t="s">
        <v>183</v>
      </c>
      <c r="N3" s="317"/>
      <c r="O3" s="317"/>
      <c r="P3" s="318"/>
      <c r="Q3" s="319" t="s">
        <v>194</v>
      </c>
      <c r="R3" s="320"/>
      <c r="S3" s="130" t="s">
        <v>184</v>
      </c>
    </row>
    <row r="4" spans="1:20" ht="15.75" thickBot="1">
      <c r="A4" s="39" t="s">
        <v>211</v>
      </c>
      <c r="B4" s="194" t="s">
        <v>203</v>
      </c>
      <c r="C4" s="216">
        <v>44477</v>
      </c>
      <c r="D4" s="38"/>
      <c r="E4" s="52" t="s">
        <v>58</v>
      </c>
      <c r="F4" s="53" t="s">
        <v>61</v>
      </c>
      <c r="G4" s="54" t="s">
        <v>59</v>
      </c>
      <c r="H4" s="54" t="s">
        <v>63</v>
      </c>
      <c r="I4" s="55" t="s">
        <v>60</v>
      </c>
      <c r="J4" s="55" t="s">
        <v>62</v>
      </c>
      <c r="K4" s="56" t="s">
        <v>63</v>
      </c>
      <c r="M4" s="131" t="s">
        <v>181</v>
      </c>
      <c r="N4" s="132">
        <f>SUM(N5:N8)</f>
        <v>270476.18</v>
      </c>
      <c r="O4" s="133" t="s">
        <v>182</v>
      </c>
      <c r="P4" s="134">
        <f>SUM(P5:P8)</f>
        <v>270.81</v>
      </c>
      <c r="Q4" s="135" t="s">
        <v>181</v>
      </c>
      <c r="R4" s="109">
        <v>270476.19</v>
      </c>
      <c r="S4" s="137">
        <f>R4-N4</f>
        <v>1.0000000009313226E-2</v>
      </c>
    </row>
    <row r="5" spans="1:20" ht="15.75" thickBot="1">
      <c r="A5" s="72" t="s">
        <v>86</v>
      </c>
      <c r="B5" s="291" t="s">
        <v>110</v>
      </c>
      <c r="C5" s="291"/>
      <c r="D5" s="38"/>
      <c r="E5" s="57">
        <v>1</v>
      </c>
      <c r="F5" s="58">
        <f>B10+30</f>
        <v>44087</v>
      </c>
      <c r="G5" s="59">
        <v>0.23799999999999999</v>
      </c>
      <c r="H5" s="59">
        <f>G5</f>
        <v>0.23799999999999999</v>
      </c>
      <c r="I5" s="60">
        <v>44088</v>
      </c>
      <c r="J5" s="61">
        <v>0.4093</v>
      </c>
      <c r="K5" s="63">
        <f>J5</f>
        <v>0.4093</v>
      </c>
      <c r="M5" s="160">
        <v>44057</v>
      </c>
      <c r="N5" s="161">
        <v>54095.24</v>
      </c>
      <c r="O5" s="188">
        <v>44110</v>
      </c>
      <c r="P5" s="161">
        <v>270.75</v>
      </c>
      <c r="Q5" s="142" t="s">
        <v>182</v>
      </c>
      <c r="R5" s="109">
        <v>270.81</v>
      </c>
      <c r="S5" s="117">
        <f>R5-P4</f>
        <v>0</v>
      </c>
    </row>
    <row r="6" spans="1:20" ht="15.75" thickBot="1">
      <c r="A6" s="71" t="s">
        <v>221</v>
      </c>
      <c r="B6" s="233">
        <v>230519.58</v>
      </c>
      <c r="C6" s="233">
        <v>0</v>
      </c>
      <c r="D6" s="38"/>
      <c r="E6" s="57">
        <v>2</v>
      </c>
      <c r="F6" s="58">
        <f>F5+30</f>
        <v>44117</v>
      </c>
      <c r="G6" s="59">
        <v>0.23150000000000001</v>
      </c>
      <c r="H6" s="59">
        <f>H5+G6</f>
        <v>0.46950000000000003</v>
      </c>
      <c r="I6" s="60">
        <v>44120</v>
      </c>
      <c r="J6" s="61">
        <v>0.1736</v>
      </c>
      <c r="K6" s="63">
        <f>K5+J6</f>
        <v>0.58289999999999997</v>
      </c>
      <c r="M6" s="160">
        <v>44161</v>
      </c>
      <c r="N6" s="161">
        <f>189333.33-N5</f>
        <v>135238.09</v>
      </c>
      <c r="O6" s="188">
        <v>44279</v>
      </c>
      <c r="P6" s="161">
        <v>0.06</v>
      </c>
      <c r="Q6" s="143" t="s">
        <v>195</v>
      </c>
      <c r="R6" s="321" t="s">
        <v>185</v>
      </c>
      <c r="S6" s="322"/>
    </row>
    <row r="7" spans="1:20" ht="15.75" customHeight="1" thickBot="1">
      <c r="A7" s="37" t="s">
        <v>57</v>
      </c>
      <c r="B7" s="349" t="s">
        <v>111</v>
      </c>
      <c r="C7" s="349"/>
      <c r="D7" s="38"/>
      <c r="E7" s="57">
        <v>3</v>
      </c>
      <c r="F7" s="58">
        <f t="shared" ref="F7:F10" si="0">F6+30</f>
        <v>44147</v>
      </c>
      <c r="G7" s="59">
        <v>6.8199999999999997E-2</v>
      </c>
      <c r="H7" s="59">
        <f>H6+G7</f>
        <v>0.53770000000000007</v>
      </c>
      <c r="I7" s="60">
        <v>44267</v>
      </c>
      <c r="J7" s="61">
        <v>5.8799999999999998E-2</v>
      </c>
      <c r="K7" s="63">
        <f>K6+J7</f>
        <v>0.64169999999999994</v>
      </c>
      <c r="M7" s="122">
        <v>44165</v>
      </c>
      <c r="N7" s="161">
        <v>81142.850000000006</v>
      </c>
      <c r="O7" s="118"/>
      <c r="P7" s="119"/>
      <c r="Q7" s="351" t="s">
        <v>199</v>
      </c>
      <c r="R7" s="115" t="s">
        <v>181</v>
      </c>
      <c r="S7" s="139">
        <f>SUM(N12:N27)</f>
        <v>215121.77000000002</v>
      </c>
    </row>
    <row r="8" spans="1:20" ht="16.5" customHeight="1" thickBot="1">
      <c r="A8" s="209" t="s">
        <v>95</v>
      </c>
      <c r="B8" s="303">
        <v>180</v>
      </c>
      <c r="C8" s="303"/>
      <c r="D8" s="38"/>
      <c r="E8" s="57">
        <v>4</v>
      </c>
      <c r="F8" s="58">
        <f t="shared" si="0"/>
        <v>44177</v>
      </c>
      <c r="G8" s="59">
        <v>0.24179999999999999</v>
      </c>
      <c r="H8" s="59">
        <f t="shared" ref="H8:H10" si="1">H7+G8</f>
        <v>0.77950000000000008</v>
      </c>
      <c r="I8" s="60">
        <v>44438</v>
      </c>
      <c r="J8" s="61">
        <v>0.29270000000000002</v>
      </c>
      <c r="K8" s="63">
        <f>K7+J8</f>
        <v>0.9343999999999999</v>
      </c>
      <c r="M8" s="95"/>
      <c r="N8" s="93"/>
      <c r="O8" s="93"/>
      <c r="P8" s="93"/>
      <c r="Q8" s="352"/>
      <c r="R8" s="116" t="s">
        <v>182</v>
      </c>
      <c r="S8" s="140">
        <f>SUM(O12:O27)</f>
        <v>270.81</v>
      </c>
    </row>
    <row r="9" spans="1:20" ht="15.75" thickBot="1">
      <c r="A9" s="76" t="s">
        <v>96</v>
      </c>
      <c r="B9" s="284">
        <f t="shared" ref="B9:C9" si="2">90+60+30+60+30</f>
        <v>270</v>
      </c>
      <c r="C9" s="284"/>
      <c r="D9" s="38"/>
      <c r="E9" s="57">
        <v>5</v>
      </c>
      <c r="F9" s="58">
        <f t="shared" si="0"/>
        <v>44207</v>
      </c>
      <c r="G9" s="59">
        <v>0.14560000000000001</v>
      </c>
      <c r="H9" s="59">
        <f t="shared" si="1"/>
        <v>0.92510000000000003</v>
      </c>
      <c r="I9" s="60"/>
      <c r="J9" s="61"/>
      <c r="K9" s="63">
        <f t="shared" ref="K9:K10" si="3">K8+J9</f>
        <v>0.9343999999999999</v>
      </c>
      <c r="M9" s="95"/>
      <c r="N9" s="93"/>
      <c r="O9" s="93"/>
      <c r="P9" s="93"/>
      <c r="Q9" s="93"/>
      <c r="R9" s="93"/>
      <c r="S9" s="126"/>
    </row>
    <row r="10" spans="1:20" ht="15.75" thickBot="1">
      <c r="A10" s="39" t="s">
        <v>36</v>
      </c>
      <c r="B10" s="271">
        <v>44057</v>
      </c>
      <c r="C10" s="271"/>
      <c r="D10" s="40"/>
      <c r="E10" s="57">
        <v>6</v>
      </c>
      <c r="F10" s="58">
        <f t="shared" si="0"/>
        <v>44237</v>
      </c>
      <c r="G10" s="59">
        <v>7.4899999999999994E-2</v>
      </c>
      <c r="H10" s="59">
        <f t="shared" si="1"/>
        <v>1</v>
      </c>
      <c r="I10" s="62"/>
      <c r="J10" s="61"/>
      <c r="K10" s="63">
        <f t="shared" si="3"/>
        <v>0.9343999999999999</v>
      </c>
      <c r="M10" s="310" t="s">
        <v>186</v>
      </c>
      <c r="N10" s="311"/>
      <c r="O10" s="311"/>
      <c r="P10" s="311"/>
      <c r="Q10" s="311"/>
      <c r="R10" s="311"/>
      <c r="S10" s="312"/>
    </row>
    <row r="11" spans="1:20" ht="15.75" thickBot="1">
      <c r="A11" s="37" t="s">
        <v>69</v>
      </c>
      <c r="B11" s="272">
        <f>B10+B8+B9</f>
        <v>44507</v>
      </c>
      <c r="C11" s="272"/>
      <c r="D11" s="38"/>
      <c r="E11" s="89"/>
      <c r="F11" s="90"/>
      <c r="G11" s="91"/>
      <c r="H11" s="91"/>
      <c r="I11" s="89"/>
      <c r="J11" s="90"/>
      <c r="K11" s="96"/>
      <c r="L11" s="36"/>
      <c r="M11" s="111" t="s">
        <v>187</v>
      </c>
      <c r="N11" s="110" t="s">
        <v>181</v>
      </c>
      <c r="O11" s="110" t="s">
        <v>182</v>
      </c>
      <c r="P11" s="110" t="s">
        <v>188</v>
      </c>
      <c r="Q11" s="110" t="s">
        <v>192</v>
      </c>
      <c r="R11" s="110" t="s">
        <v>190</v>
      </c>
      <c r="S11" s="121" t="s">
        <v>191</v>
      </c>
    </row>
    <row r="12" spans="1:20" ht="15.75" thickBot="1">
      <c r="A12" s="39" t="s">
        <v>25</v>
      </c>
      <c r="B12" s="273">
        <f>IF(B2=1,K5,IF(B2=2,K6,IF(B2=3,K7,IF(B2=4,K8,IF(B2=5,K9,IF(B2=6,K10,IF(B2=7,K11,IF(B2=8,K12))))))))</f>
        <v>0.9343999999999999</v>
      </c>
      <c r="C12" s="273"/>
      <c r="D12" s="38"/>
      <c r="E12" s="92"/>
      <c r="F12" s="90"/>
      <c r="G12" s="91"/>
      <c r="H12" s="91"/>
      <c r="I12" s="92"/>
      <c r="J12" s="90"/>
      <c r="K12" s="96"/>
      <c r="L12" s="36"/>
      <c r="M12" s="122">
        <v>44112</v>
      </c>
      <c r="N12" s="119">
        <v>28304.9</v>
      </c>
      <c r="O12" s="119">
        <v>0</v>
      </c>
      <c r="P12" s="120">
        <f>N12+O12</f>
        <v>28304.9</v>
      </c>
      <c r="Q12" s="166">
        <v>20200000000023</v>
      </c>
      <c r="R12" s="151">
        <v>1</v>
      </c>
      <c r="S12" s="168" t="s">
        <v>198</v>
      </c>
      <c r="T12" s="189"/>
    </row>
    <row r="13" spans="1:20">
      <c r="A13" s="37" t="s">
        <v>67</v>
      </c>
      <c r="B13" s="46">
        <f>IF(B$2=1,2,IF(B$2=2,3,IF(B$2=3,4,IF(B$2=4,5,IF(B$2=5,6,IF(B$2=6,7,IF(B$2=7,8)))))))</f>
        <v>5</v>
      </c>
      <c r="C13" s="47">
        <f>IF(B$2=1,F$6,IF(B$2=2,F$7,IF(B$2=3,F$8,IF(B$2=4,F$9,IF(B$2=5,F$10,IF(B$2=6,F$11,IF(B$2=7,F$12)))))))</f>
        <v>44207</v>
      </c>
      <c r="D13" s="38"/>
      <c r="E13" s="93"/>
      <c r="F13" s="93"/>
      <c r="G13" s="93"/>
      <c r="H13" s="93"/>
      <c r="I13" s="93"/>
      <c r="J13" s="93"/>
      <c r="K13" s="94"/>
      <c r="M13" s="169">
        <v>44112</v>
      </c>
      <c r="N13" s="170">
        <v>25790.34</v>
      </c>
      <c r="O13" s="170">
        <v>230.52</v>
      </c>
      <c r="P13" s="171">
        <f t="shared" ref="P13:P26" si="4">N13+O13</f>
        <v>26020.86</v>
      </c>
      <c r="Q13" s="172">
        <v>30931827</v>
      </c>
      <c r="R13" s="173">
        <v>1</v>
      </c>
      <c r="S13" s="174" t="s">
        <v>197</v>
      </c>
    </row>
    <row r="14" spans="1:20" ht="30">
      <c r="A14" s="65" t="s">
        <v>84</v>
      </c>
      <c r="B14" s="274">
        <f>IF($B$2=1,H$6-K$5,IF($B$2=2,H$7-K$6,IF($B$2=3,H$8-K$7,IF($B$2=4,H$9-K$8,IF($B$2=5,H$10-K$9,IF($B$2=6,H$11-K$10,IF($B$2=7,H$12-K$11)))))))</f>
        <v>-9.2999999999998639E-3</v>
      </c>
      <c r="C14" s="274"/>
      <c r="D14" s="41"/>
      <c r="E14" s="305" t="str">
        <f ca="1">IF(TODAY()&gt;C13,"OBRA ATRASADA","")</f>
        <v>OBRA ATRASADA</v>
      </c>
      <c r="F14" s="305"/>
      <c r="G14" s="205" t="str">
        <f ca="1">IF(TODAY()&gt;C13,"EM","")</f>
        <v>EM</v>
      </c>
      <c r="H14" s="205">
        <f ca="1">IF(TODAY()&gt;C13,TODAY()-C13,"")</f>
        <v>270</v>
      </c>
      <c r="I14" s="327" t="str">
        <f t="shared" ref="I14" ca="1" si="5">IF(TODAY()&gt;C13,"DIAS EM RELAÇÃO AO CRONOGRAMA","")</f>
        <v>DIAS EM RELAÇÃO AO CRONOGRAMA</v>
      </c>
      <c r="J14" s="327"/>
      <c r="K14" s="328"/>
      <c r="M14" s="167">
        <v>44165</v>
      </c>
      <c r="N14" s="119">
        <v>40023.89</v>
      </c>
      <c r="O14" s="119">
        <v>0</v>
      </c>
      <c r="P14" s="120">
        <f t="shared" si="4"/>
        <v>40023.89</v>
      </c>
      <c r="Q14" s="166">
        <v>30931827</v>
      </c>
      <c r="R14" s="151">
        <v>1</v>
      </c>
      <c r="S14" s="168" t="s">
        <v>198</v>
      </c>
    </row>
    <row r="15" spans="1:20">
      <c r="A15" s="49"/>
      <c r="B15" s="36"/>
      <c r="C15" s="36"/>
      <c r="D15" s="36"/>
      <c r="E15" s="36"/>
      <c r="F15" s="36"/>
      <c r="G15" s="36"/>
      <c r="H15" s="36"/>
      <c r="I15" s="36"/>
      <c r="J15" s="36"/>
      <c r="K15" s="64"/>
      <c r="M15" s="169">
        <v>44165</v>
      </c>
      <c r="N15" s="170">
        <v>39988.1</v>
      </c>
      <c r="O15" s="170">
        <v>40.229999999999997</v>
      </c>
      <c r="P15" s="171">
        <f>N15+O15</f>
        <v>40028.33</v>
      </c>
      <c r="Q15" s="172">
        <v>20200000000032</v>
      </c>
      <c r="R15" s="173">
        <v>2</v>
      </c>
      <c r="S15" s="174" t="s">
        <v>198</v>
      </c>
      <c r="T15" s="189"/>
    </row>
    <row r="16" spans="1:20">
      <c r="A16" s="49"/>
      <c r="B16" s="36"/>
      <c r="C16" s="36"/>
      <c r="D16" s="36"/>
      <c r="E16" s="36"/>
      <c r="F16" s="36"/>
      <c r="G16" s="36"/>
      <c r="H16" s="36"/>
      <c r="I16" s="36"/>
      <c r="J16" s="36"/>
      <c r="K16" s="64"/>
      <c r="M16" s="122">
        <v>44285</v>
      </c>
      <c r="N16" s="119">
        <f>13550.44-0.06</f>
        <v>13550.380000000001</v>
      </c>
      <c r="O16" s="119">
        <v>0.06</v>
      </c>
      <c r="P16" s="120">
        <f t="shared" si="4"/>
        <v>13550.44</v>
      </c>
      <c r="Q16" s="166">
        <v>202100000000063</v>
      </c>
      <c r="R16" s="151">
        <v>3</v>
      </c>
      <c r="S16" s="168" t="s">
        <v>198</v>
      </c>
    </row>
    <row r="17" spans="1:19" ht="15" customHeight="1">
      <c r="A17" s="330" t="s">
        <v>112</v>
      </c>
      <c r="B17" s="331"/>
      <c r="C17" s="331"/>
      <c r="D17" s="36"/>
      <c r="E17" s="36"/>
      <c r="F17" s="36"/>
      <c r="G17" s="36"/>
      <c r="H17" s="36"/>
      <c r="I17" s="36"/>
      <c r="J17" s="36"/>
      <c r="K17" s="64"/>
      <c r="M17" s="169">
        <v>44474</v>
      </c>
      <c r="N17" s="170">
        <v>67464.160000000003</v>
      </c>
      <c r="O17" s="170">
        <v>0</v>
      </c>
      <c r="P17" s="171">
        <f t="shared" si="4"/>
        <v>67464.160000000003</v>
      </c>
      <c r="Q17" s="172">
        <v>202100000000090</v>
      </c>
      <c r="R17" s="173">
        <v>4</v>
      </c>
      <c r="S17" s="174" t="s">
        <v>198</v>
      </c>
    </row>
    <row r="18" spans="1:19">
      <c r="A18" s="330"/>
      <c r="B18" s="331"/>
      <c r="C18" s="331"/>
      <c r="D18" s="36"/>
      <c r="E18" s="36"/>
      <c r="F18" s="36"/>
      <c r="G18" s="36"/>
      <c r="H18" s="36"/>
      <c r="I18" s="191"/>
      <c r="J18" s="36"/>
      <c r="K18" s="64"/>
      <c r="M18" s="122"/>
      <c r="N18" s="119"/>
      <c r="O18" s="119"/>
      <c r="P18" s="120">
        <f t="shared" si="4"/>
        <v>0</v>
      </c>
      <c r="Q18" s="93"/>
      <c r="R18" s="93"/>
      <c r="S18" s="168"/>
    </row>
    <row r="19" spans="1:19">
      <c r="A19" s="330"/>
      <c r="B19" s="331"/>
      <c r="C19" s="331"/>
      <c r="D19" s="36"/>
      <c r="E19" s="36"/>
      <c r="F19" s="36"/>
      <c r="G19" s="36"/>
      <c r="H19" s="36"/>
      <c r="I19" s="36"/>
      <c r="J19" s="36"/>
      <c r="K19" s="64"/>
      <c r="M19" s="169"/>
      <c r="N19" s="170"/>
      <c r="O19" s="170"/>
      <c r="P19" s="171">
        <f t="shared" si="4"/>
        <v>0</v>
      </c>
      <c r="Q19" s="175"/>
      <c r="R19" s="175"/>
      <c r="S19" s="174"/>
    </row>
    <row r="20" spans="1:19">
      <c r="A20" s="330"/>
      <c r="B20" s="331"/>
      <c r="C20" s="331"/>
      <c r="D20" s="36"/>
      <c r="E20" s="36"/>
      <c r="F20" s="36"/>
      <c r="G20" s="36"/>
      <c r="H20" s="36"/>
      <c r="I20" s="36"/>
      <c r="J20" s="36"/>
      <c r="K20" s="64"/>
      <c r="M20" s="95"/>
      <c r="N20" s="93"/>
      <c r="O20" s="93"/>
      <c r="P20" s="120">
        <f t="shared" si="4"/>
        <v>0</v>
      </c>
      <c r="Q20" s="93"/>
      <c r="R20" s="93"/>
      <c r="S20" s="168"/>
    </row>
    <row r="21" spans="1:19">
      <c r="A21" s="330"/>
      <c r="B21" s="331"/>
      <c r="C21" s="331"/>
      <c r="D21" s="36"/>
      <c r="E21" s="36"/>
      <c r="F21" s="36"/>
      <c r="G21" s="36"/>
      <c r="H21" s="36"/>
      <c r="I21" s="36"/>
      <c r="J21" s="36"/>
      <c r="K21" s="64"/>
      <c r="M21" s="177"/>
      <c r="N21" s="175"/>
      <c r="O21" s="175"/>
      <c r="P21" s="171">
        <f t="shared" si="4"/>
        <v>0</v>
      </c>
      <c r="Q21" s="175"/>
      <c r="R21" s="175"/>
      <c r="S21" s="174"/>
    </row>
    <row r="22" spans="1:19">
      <c r="A22" s="152"/>
      <c r="B22" s="153"/>
      <c r="C22" s="153"/>
      <c r="D22" s="36"/>
      <c r="E22" s="36"/>
      <c r="F22" s="36"/>
      <c r="G22" s="36"/>
      <c r="H22" s="36"/>
      <c r="I22" s="36"/>
      <c r="J22" s="36"/>
      <c r="K22" s="64"/>
      <c r="M22" s="95"/>
      <c r="N22" s="93"/>
      <c r="O22" s="93"/>
      <c r="P22" s="120">
        <f t="shared" si="4"/>
        <v>0</v>
      </c>
      <c r="Q22" s="93"/>
      <c r="R22" s="93"/>
      <c r="S22" s="168"/>
    </row>
    <row r="23" spans="1:19">
      <c r="A23" s="332"/>
      <c r="B23" s="333"/>
      <c r="C23" s="333"/>
      <c r="D23" s="333"/>
      <c r="E23" s="333"/>
      <c r="F23" s="333"/>
      <c r="G23" s="333"/>
      <c r="H23" s="36"/>
      <c r="I23" s="36"/>
      <c r="J23" s="36"/>
      <c r="K23" s="64"/>
      <c r="M23" s="177"/>
      <c r="N23" s="175"/>
      <c r="O23" s="175"/>
      <c r="P23" s="171">
        <f t="shared" si="4"/>
        <v>0</v>
      </c>
      <c r="Q23" s="175"/>
      <c r="R23" s="175"/>
      <c r="S23" s="174"/>
    </row>
    <row r="24" spans="1:19">
      <c r="A24" s="154"/>
      <c r="B24" s="334"/>
      <c r="C24" s="350"/>
      <c r="D24" s="350"/>
      <c r="E24" s="350"/>
      <c r="F24" s="350"/>
      <c r="G24" s="350"/>
      <c r="H24" s="36"/>
      <c r="I24" s="36"/>
      <c r="J24" s="36"/>
      <c r="K24" s="64"/>
      <c r="M24" s="95"/>
      <c r="N24" s="93"/>
      <c r="O24" s="93"/>
      <c r="P24" s="120">
        <f t="shared" si="4"/>
        <v>0</v>
      </c>
      <c r="Q24" s="93"/>
      <c r="R24" s="93"/>
      <c r="S24" s="168"/>
    </row>
    <row r="25" spans="1:19">
      <c r="A25" s="154"/>
      <c r="B25" s="334"/>
      <c r="C25" s="350"/>
      <c r="D25" s="350"/>
      <c r="E25" s="350"/>
      <c r="F25" s="350"/>
      <c r="G25" s="350"/>
      <c r="H25" s="36"/>
      <c r="I25" s="36"/>
      <c r="J25" s="36"/>
      <c r="K25" s="64"/>
      <c r="M25" s="177"/>
      <c r="N25" s="175"/>
      <c r="O25" s="175"/>
      <c r="P25" s="171">
        <f t="shared" si="4"/>
        <v>0</v>
      </c>
      <c r="Q25" s="175"/>
      <c r="R25" s="175"/>
      <c r="S25" s="174"/>
    </row>
    <row r="26" spans="1:19">
      <c r="A26" s="203"/>
      <c r="B26" s="204"/>
      <c r="C26" s="204"/>
      <c r="D26" s="204"/>
      <c r="E26" s="204"/>
      <c r="F26" s="204"/>
      <c r="G26" s="204"/>
      <c r="H26" s="36"/>
      <c r="I26" s="36"/>
      <c r="J26" s="36"/>
      <c r="K26" s="64"/>
      <c r="M26" s="95"/>
      <c r="N26" s="93"/>
      <c r="O26" s="93"/>
      <c r="P26" s="120">
        <f t="shared" si="4"/>
        <v>0</v>
      </c>
      <c r="Q26" s="93"/>
      <c r="R26" s="93"/>
      <c r="S26" s="168"/>
    </row>
    <row r="27" spans="1:19">
      <c r="A27" s="281" t="s">
        <v>169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M27" s="313" t="s">
        <v>193</v>
      </c>
      <c r="N27" s="314"/>
      <c r="O27" s="314"/>
      <c r="P27" s="314"/>
      <c r="Q27" s="314"/>
      <c r="R27" s="315"/>
      <c r="S27" s="141">
        <f>SUM(P12:P26)</f>
        <v>215392.58</v>
      </c>
    </row>
    <row r="29" spans="1:19">
      <c r="C29" s="189"/>
      <c r="N29" s="189"/>
      <c r="O29" s="189"/>
      <c r="P29" s="189"/>
    </row>
    <row r="30" spans="1:19">
      <c r="O30" s="189"/>
      <c r="S30" s="189"/>
    </row>
    <row r="31" spans="1:19">
      <c r="O31" s="189"/>
      <c r="S31" s="189"/>
    </row>
  </sheetData>
  <mergeCells count="28">
    <mergeCell ref="B11:C11"/>
    <mergeCell ref="B10:C10"/>
    <mergeCell ref="B12:C12"/>
    <mergeCell ref="A27:K27"/>
    <mergeCell ref="A17:C21"/>
    <mergeCell ref="A23:G23"/>
    <mergeCell ref="B14:C14"/>
    <mergeCell ref="E14:F14"/>
    <mergeCell ref="I14:K14"/>
    <mergeCell ref="B24:G24"/>
    <mergeCell ref="B25:G25"/>
    <mergeCell ref="B9:C9"/>
    <mergeCell ref="B1:C1"/>
    <mergeCell ref="E1:K1"/>
    <mergeCell ref="H2:K2"/>
    <mergeCell ref="E3:H3"/>
    <mergeCell ref="I3:K3"/>
    <mergeCell ref="B5:C5"/>
    <mergeCell ref="B7:C7"/>
    <mergeCell ref="B8:C8"/>
    <mergeCell ref="M1:Q1"/>
    <mergeCell ref="R1:S1"/>
    <mergeCell ref="M10:S10"/>
    <mergeCell ref="M27:R27"/>
    <mergeCell ref="M3:P3"/>
    <mergeCell ref="Q3:R3"/>
    <mergeCell ref="R6:S6"/>
    <mergeCell ref="Q7:Q8"/>
  </mergeCells>
  <conditionalFormatting sqref="G2">
    <cfRule type="cellIs" dxfId="204" priority="19" operator="greaterThanOrEqual">
      <formula>0</formula>
    </cfRule>
    <cfRule type="cellIs" dxfId="203" priority="20" operator="lessThan">
      <formula>0</formula>
    </cfRule>
  </conditionalFormatting>
  <conditionalFormatting sqref="E14">
    <cfRule type="containsText" dxfId="202" priority="18" operator="containsText" text="OBRA ATRASADA">
      <formula>NOT(ISERROR(SEARCH("OBRA ATRASADA",E14)))</formula>
    </cfRule>
  </conditionalFormatting>
  <conditionalFormatting sqref="H2">
    <cfRule type="cellIs" dxfId="201" priority="15" operator="equal">
      <formula>"BM DENTRO DO ACUMULADO PREVISTO - PODE SER PAGO"</formula>
    </cfRule>
    <cfRule type="cellIs" dxfId="200" priority="16" operator="equal">
      <formula>"BM MENOR DO QUE O PREVISO - MARGEM TOLERÁVEL - LIBERAR PAGAMENTO COM JUSTIFICATIVA"</formula>
    </cfRule>
    <cfRule type="cellIs" dxfId="199" priority="17" operator="equal">
      <formula>"EXECUÇÃO MUITO INFERIOR À PREVISÃO DE ACÚMULO PARA ESTE BM - AGUARDANDO NOVO BM PARA LIBERAR PAGAMENTO"</formula>
    </cfRule>
  </conditionalFormatting>
  <conditionalFormatting sqref="H2">
    <cfRule type="cellIs" dxfId="198" priority="12" operator="equal">
      <formula>"PAGAMENTO DO BM LIBERADO"</formula>
    </cfRule>
    <cfRule type="cellIs" dxfId="197" priority="13" operator="equal">
      <formula>"BM MENOR DO QUE O PREVISO - MARGEM TOLERÁVEL - LIBERAR PAGAMENTO COM JUSTIFICATIVA"</formula>
    </cfRule>
    <cfRule type="cellIs" dxfId="196" priority="14" operator="equal">
      <formula>"EXECUÇÃO MUITO INFERIOR À PREVISTA PARA ESTE BM - AGUARDANDO NOVO BM PARA LIBERAR PAGAMENTO"</formula>
    </cfRule>
  </conditionalFormatting>
  <conditionalFormatting sqref="H2">
    <cfRule type="cellIs" dxfId="195" priority="9" operator="equal">
      <formula>"BM DENTRO DO ACUMULADO PREVISTO - PODE SER PAGO"</formula>
    </cfRule>
    <cfRule type="cellIs" dxfId="194" priority="10" operator="equal">
      <formula>"BM MENOR DO QUE O PREVISO - MARGEM TOLERÁVEL - LIBERAR PAGAMENTO COM JUSTIFICATIVA"</formula>
    </cfRule>
    <cfRule type="cellIs" dxfId="193" priority="11" operator="equal">
      <formula>"EXECUÇÃO MUITO INFERIOR À PREVISÃO DE ACÚMULO PARA ESTE BM - SOLICITAR NOVO BM PARA LIBERAR PAGAMENTO"</formula>
    </cfRule>
  </conditionalFormatting>
  <conditionalFormatting sqref="C13">
    <cfRule type="expression" dxfId="192" priority="8">
      <formula>C13&lt;(TODAY())</formula>
    </cfRule>
  </conditionalFormatting>
  <conditionalFormatting sqref="H2">
    <cfRule type="cellIs" dxfId="191" priority="5" operator="equal">
      <formula>"BM DENTRO DO ACUMULADO PREVISTO - LIBERAR PAGAMENTO"</formula>
    </cfRule>
    <cfRule type="cellIs" dxfId="190" priority="6" operator="equal">
      <formula>"BM MENOR DO QUE O PREVISTO - MARGEM TOLERÁVEL - LIBERAR PAGAMENTO COM JUSTIFICATIVA"</formula>
    </cfRule>
    <cfRule type="cellIs" dxfId="189" priority="7" operator="equal">
      <formula>"EXECUÇÃO MUITO INFERIOR À PREVISÃO DE ACÚMULO PARA ESTE BM - SOLICITAR NOVO BM PARA LIBERAR PAGAMENTO"</formula>
    </cfRule>
  </conditionalFormatting>
  <conditionalFormatting sqref="B14:C14">
    <cfRule type="cellIs" dxfId="188" priority="4" operator="lessThanOrEqual">
      <formula>0</formula>
    </cfRule>
  </conditionalFormatting>
  <conditionalFormatting sqref="A14">
    <cfRule type="expression" dxfId="187" priority="3">
      <formula>$B$13&lt;=0</formula>
    </cfRule>
  </conditionalFormatting>
  <conditionalFormatting sqref="P15:P26">
    <cfRule type="cellIs" dxfId="186" priority="2" operator="lessThanOrEqual">
      <formula>0</formula>
    </cfRule>
  </conditionalFormatting>
  <conditionalFormatting sqref="B14:C14">
    <cfRule type="cellIs" dxfId="185" priority="1" operator="lessThanOrEqual">
      <formula>0</formula>
    </cfRule>
  </conditionalFormatting>
  <printOptions horizontalCentered="1"/>
  <pageMargins left="0.51181102362204722" right="0.51181102362204722" top="1.1811023622047245" bottom="0.78740157480314965" header="0.31496062992125984" footer="0.31496062992125984"/>
  <pageSetup paperSize="9" orientation="landscape" horizontalDpi="4294967293" verticalDpi="4294967293" r:id="rId1"/>
  <headerFooter>
    <oddHeader>&amp;C&amp;G
Prefeitura Municipal de Restinga Sêca
- Acompanhamento de evolução de obra -</oddHeader>
    <oddFooter>&amp;CDocumento impresso em &amp;D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2"/>
  <sheetViews>
    <sheetView zoomScale="85" zoomScaleNormal="85" workbookViewId="0">
      <selection activeCell="E1" sqref="E1:K1"/>
    </sheetView>
  </sheetViews>
  <sheetFormatPr defaultRowHeight="15"/>
  <cols>
    <col min="1" max="1" width="27" style="15" bestFit="1" customWidth="1"/>
    <col min="2" max="2" width="13.28515625" style="15" customWidth="1"/>
    <col min="3" max="3" width="15.42578125" style="15" customWidth="1"/>
    <col min="4" max="4" width="0.7109375" style="15" customWidth="1"/>
    <col min="5" max="5" width="3.7109375" style="15" customWidth="1"/>
    <col min="6" max="6" width="13" style="15" customWidth="1"/>
    <col min="7" max="7" width="10.7109375" style="15" bestFit="1" customWidth="1"/>
    <col min="8" max="8" width="12.42578125" style="15" bestFit="1" customWidth="1"/>
    <col min="9" max="9" width="14.5703125" style="15" bestFit="1" customWidth="1"/>
    <col min="10" max="10" width="12.5703125" style="15" bestFit="1" customWidth="1"/>
    <col min="11" max="11" width="12.42578125" style="15" bestFit="1" customWidth="1"/>
    <col min="12" max="12" width="1.85546875" style="112" customWidth="1"/>
    <col min="13" max="13" width="17.7109375" style="15" bestFit="1" customWidth="1"/>
    <col min="14" max="14" width="14.28515625" style="15" bestFit="1" customWidth="1"/>
    <col min="15" max="15" width="16.42578125" style="15" bestFit="1" customWidth="1"/>
    <col min="16" max="16" width="15.140625" style="15" bestFit="1" customWidth="1"/>
    <col min="17" max="17" width="16.42578125" style="15" bestFit="1" customWidth="1"/>
    <col min="18" max="18" width="16" style="15" bestFit="1" customWidth="1"/>
    <col min="19" max="19" width="20" style="15" bestFit="1" customWidth="1"/>
    <col min="20" max="16384" width="9.140625" style="15"/>
  </cols>
  <sheetData>
    <row r="1" spans="1:19" ht="19.5" thickBot="1">
      <c r="A1" s="123" t="s">
        <v>98</v>
      </c>
      <c r="B1" s="326" t="s">
        <v>119</v>
      </c>
      <c r="C1" s="326"/>
      <c r="D1" s="45"/>
      <c r="E1" s="300" t="s">
        <v>124</v>
      </c>
      <c r="F1" s="300"/>
      <c r="G1" s="300"/>
      <c r="H1" s="300"/>
      <c r="I1" s="300"/>
      <c r="J1" s="300"/>
      <c r="K1" s="301"/>
      <c r="L1" s="144"/>
      <c r="M1" s="306" t="s">
        <v>179</v>
      </c>
      <c r="N1" s="307"/>
      <c r="O1" s="307"/>
      <c r="P1" s="307"/>
      <c r="Q1" s="307"/>
      <c r="R1" s="308" t="str">
        <f>B1</f>
        <v>885.736/2019</v>
      </c>
      <c r="S1" s="309"/>
    </row>
    <row r="2" spans="1:19" ht="31.5" customHeight="1" thickBot="1">
      <c r="A2" s="48" t="s">
        <v>66</v>
      </c>
      <c r="B2" s="35">
        <v>3</v>
      </c>
      <c r="C2" s="42">
        <f>IF(B2=1,I5,IF(B2=2,I6,IF(B2=3,I7,IF(B2=4,I8,IF(B2=5,I9,IF(B2=6,I10))))))</f>
        <v>44411</v>
      </c>
      <c r="D2" s="51"/>
      <c r="E2" s="51"/>
      <c r="F2" s="50" t="s">
        <v>68</v>
      </c>
      <c r="G2" s="44">
        <f>IF(B2=1,K5-H5,IF(B2=2,K6-H6,IF(B2=3,K7-H7,IF(B2=4,K8-H8,IF(B2=5,K9-H9,IF(B2=6,K10-H10,IF(B2=7,K11-H11,IF(B2=8,K12-H12))))))))</f>
        <v>0.16339999999999999</v>
      </c>
      <c r="H2" s="282" t="str">
        <f>IF(G2&lt;=-0.0501,"EXECUÇÃO MUITO INFERIOR À PREVISÃO DE ACÚMULO PARA ESTE BM - SOLICITAR NOVO BM PARA LIBERAR PAGAMENTO",IF(G2&lt;0,"BM MENOR DO QUE O PREVISTO - MARGEM TOLERÁVEL - LIBERAR PAGAMENTO COM JUSTIFICATIVA",IF(G2&gt;=0,"BM DENTRO DO ACUMULADO PREVISTO - LIBERAR PAGAMENTO")))</f>
        <v>BM DENTRO DO ACUMULADO PREVISTO - LIBERAR PAGAMENTO</v>
      </c>
      <c r="I2" s="282"/>
      <c r="J2" s="282"/>
      <c r="K2" s="283"/>
      <c r="L2" s="145"/>
      <c r="M2" s="125" t="s">
        <v>180</v>
      </c>
      <c r="N2" s="113" t="s">
        <v>181</v>
      </c>
      <c r="O2" s="113">
        <f>N4-S7</f>
        <v>11361.439999999973</v>
      </c>
      <c r="P2" s="114" t="s">
        <v>182</v>
      </c>
      <c r="Q2" s="127">
        <f>P4-S8</f>
        <v>0</v>
      </c>
      <c r="R2" s="128" t="s">
        <v>189</v>
      </c>
      <c r="S2" s="129">
        <f>O2+Q2</f>
        <v>11361.439999999973</v>
      </c>
    </row>
    <row r="3" spans="1:19" ht="15.75" thickBot="1">
      <c r="A3" s="37" t="s">
        <v>210</v>
      </c>
      <c r="B3" s="192" t="s">
        <v>123</v>
      </c>
      <c r="C3" s="193">
        <v>44431</v>
      </c>
      <c r="D3" s="38"/>
      <c r="E3" s="285" t="s">
        <v>64</v>
      </c>
      <c r="F3" s="286"/>
      <c r="G3" s="286"/>
      <c r="H3" s="286"/>
      <c r="I3" s="287" t="s">
        <v>65</v>
      </c>
      <c r="J3" s="287"/>
      <c r="K3" s="288"/>
      <c r="L3" s="146"/>
      <c r="M3" s="316" t="s">
        <v>183</v>
      </c>
      <c r="N3" s="317"/>
      <c r="O3" s="317"/>
      <c r="P3" s="318"/>
      <c r="Q3" s="319" t="s">
        <v>194</v>
      </c>
      <c r="R3" s="320"/>
      <c r="S3" s="130" t="s">
        <v>184</v>
      </c>
    </row>
    <row r="4" spans="1:19" ht="15.75" thickBot="1">
      <c r="A4" s="39" t="s">
        <v>211</v>
      </c>
      <c r="B4" s="194" t="s">
        <v>203</v>
      </c>
      <c r="C4" s="216">
        <v>44401</v>
      </c>
      <c r="D4" s="38"/>
      <c r="E4" s="52" t="s">
        <v>58</v>
      </c>
      <c r="F4" s="53" t="s">
        <v>61</v>
      </c>
      <c r="G4" s="54" t="s">
        <v>59</v>
      </c>
      <c r="H4" s="54" t="s">
        <v>63</v>
      </c>
      <c r="I4" s="55" t="s">
        <v>60</v>
      </c>
      <c r="J4" s="55" t="s">
        <v>62</v>
      </c>
      <c r="K4" s="56" t="s">
        <v>63</v>
      </c>
      <c r="L4" s="147"/>
      <c r="M4" s="131" t="s">
        <v>181</v>
      </c>
      <c r="N4" s="132">
        <f>SUM(N5:N8)</f>
        <v>238750</v>
      </c>
      <c r="O4" s="133" t="s">
        <v>182</v>
      </c>
      <c r="P4" s="134">
        <f>SUM(P5:P8)</f>
        <v>244.76</v>
      </c>
      <c r="Q4" s="135" t="s">
        <v>181</v>
      </c>
      <c r="R4" s="136">
        <v>238750</v>
      </c>
      <c r="S4" s="137">
        <f>R4-N4</f>
        <v>0</v>
      </c>
    </row>
    <row r="5" spans="1:19" ht="15.75" thickBot="1">
      <c r="A5" s="72" t="s">
        <v>86</v>
      </c>
      <c r="B5" s="291" t="s">
        <v>122</v>
      </c>
      <c r="C5" s="291"/>
      <c r="D5" s="38"/>
      <c r="E5" s="57">
        <v>1</v>
      </c>
      <c r="F5" s="58">
        <f>B10+30</f>
        <v>44071</v>
      </c>
      <c r="G5" s="59">
        <v>0.31900000000000001</v>
      </c>
      <c r="H5" s="59">
        <f>G5</f>
        <v>0.31900000000000001</v>
      </c>
      <c r="I5" s="60">
        <v>44071</v>
      </c>
      <c r="J5" s="61">
        <v>0.27510000000000001</v>
      </c>
      <c r="K5" s="63">
        <f>J5</f>
        <v>0.27510000000000001</v>
      </c>
      <c r="L5" s="148"/>
      <c r="M5" s="122">
        <v>44035</v>
      </c>
      <c r="N5" s="119">
        <v>47750</v>
      </c>
      <c r="O5" s="118">
        <v>44117</v>
      </c>
      <c r="P5" s="119">
        <v>244.76</v>
      </c>
      <c r="Q5" s="142" t="s">
        <v>182</v>
      </c>
      <c r="R5" s="138">
        <v>244.76</v>
      </c>
      <c r="S5" s="117">
        <f>R5-P4</f>
        <v>0</v>
      </c>
    </row>
    <row r="6" spans="1:19" ht="15.75" thickBot="1">
      <c r="A6" s="71" t="s">
        <v>221</v>
      </c>
      <c r="B6" s="233">
        <v>227633.32</v>
      </c>
      <c r="C6" s="233">
        <f>141.81</f>
        <v>141.81</v>
      </c>
      <c r="D6" s="38"/>
      <c r="E6" s="57">
        <v>2</v>
      </c>
      <c r="F6" s="58">
        <f>F5+30</f>
        <v>44101</v>
      </c>
      <c r="G6" s="59">
        <v>0.33800000000000002</v>
      </c>
      <c r="H6" s="59">
        <f>H5+G6</f>
        <v>0.65700000000000003</v>
      </c>
      <c r="I6" s="60">
        <v>44193</v>
      </c>
      <c r="J6" s="61">
        <v>0.41810000000000003</v>
      </c>
      <c r="K6" s="63">
        <f>K5+J6</f>
        <v>0.69320000000000004</v>
      </c>
      <c r="L6" s="148"/>
      <c r="M6" s="122">
        <v>44155</v>
      </c>
      <c r="N6" s="119">
        <v>191000</v>
      </c>
      <c r="O6" s="118"/>
      <c r="P6" s="119"/>
      <c r="Q6" s="143" t="s">
        <v>195</v>
      </c>
      <c r="R6" s="321" t="s">
        <v>185</v>
      </c>
      <c r="S6" s="322"/>
    </row>
    <row r="7" spans="1:19" ht="15.75" customHeight="1" thickBot="1">
      <c r="A7" s="37" t="s">
        <v>57</v>
      </c>
      <c r="B7" s="349" t="s">
        <v>111</v>
      </c>
      <c r="C7" s="349"/>
      <c r="D7" s="38"/>
      <c r="E7" s="57">
        <v>3</v>
      </c>
      <c r="F7" s="58">
        <f t="shared" ref="F7:F8" si="0">F6+30</f>
        <v>44131</v>
      </c>
      <c r="G7" s="59">
        <v>0.17960000000000001</v>
      </c>
      <c r="H7" s="59">
        <f>H6+G7</f>
        <v>0.83660000000000001</v>
      </c>
      <c r="I7" s="60">
        <v>44411</v>
      </c>
      <c r="J7" s="61">
        <v>0.30680000000000002</v>
      </c>
      <c r="K7" s="63">
        <f>K6+J7</f>
        <v>1</v>
      </c>
      <c r="L7" s="148"/>
      <c r="M7" s="122"/>
      <c r="N7" s="124"/>
      <c r="O7" s="118"/>
      <c r="P7" s="119"/>
      <c r="Q7" s="323" t="s">
        <v>196</v>
      </c>
      <c r="R7" s="115" t="s">
        <v>181</v>
      </c>
      <c r="S7" s="139">
        <f>SUM(N12:N27)</f>
        <v>227388.56000000003</v>
      </c>
    </row>
    <row r="8" spans="1:19" ht="15.75" customHeight="1" thickBot="1">
      <c r="A8" s="209" t="s">
        <v>95</v>
      </c>
      <c r="B8" s="303">
        <v>150</v>
      </c>
      <c r="C8" s="303"/>
      <c r="D8" s="38"/>
      <c r="E8" s="57">
        <v>4</v>
      </c>
      <c r="F8" s="58">
        <f t="shared" si="0"/>
        <v>44161</v>
      </c>
      <c r="G8" s="59">
        <v>0.16339999999999999</v>
      </c>
      <c r="H8" s="59">
        <f t="shared" ref="H8" si="1">H7+G8</f>
        <v>1</v>
      </c>
      <c r="I8" s="60"/>
      <c r="J8" s="61"/>
      <c r="K8" s="63">
        <f>K7+J8</f>
        <v>1</v>
      </c>
      <c r="L8" s="148"/>
      <c r="M8" s="95"/>
      <c r="N8" s="93"/>
      <c r="O8" s="93"/>
      <c r="P8" s="93"/>
      <c r="Q8" s="324"/>
      <c r="R8" s="116" t="s">
        <v>182</v>
      </c>
      <c r="S8" s="140">
        <f>SUM(O12:O27)</f>
        <v>244.76</v>
      </c>
    </row>
    <row r="9" spans="1:19" ht="15.75" thickBot="1">
      <c r="A9" s="76" t="s">
        <v>96</v>
      </c>
      <c r="B9" s="284">
        <f>120+60+30+30</f>
        <v>240</v>
      </c>
      <c r="C9" s="284"/>
      <c r="D9" s="38"/>
      <c r="E9" s="57"/>
      <c r="F9" s="58"/>
      <c r="G9" s="59"/>
      <c r="H9" s="59"/>
      <c r="I9" s="92"/>
      <c r="J9" s="90"/>
      <c r="K9" s="96"/>
      <c r="L9" s="148"/>
      <c r="M9" s="95"/>
      <c r="N9" s="93"/>
      <c r="O9" s="93"/>
      <c r="P9" s="93"/>
      <c r="Q9" s="93"/>
      <c r="R9" s="93"/>
      <c r="S9" s="126"/>
    </row>
    <row r="10" spans="1:19" ht="15.75" thickBot="1">
      <c r="A10" s="39" t="s">
        <v>36</v>
      </c>
      <c r="B10" s="271">
        <v>44041</v>
      </c>
      <c r="C10" s="271"/>
      <c r="D10" s="40"/>
      <c r="E10" s="57"/>
      <c r="F10" s="58"/>
      <c r="G10" s="59"/>
      <c r="H10" s="59"/>
      <c r="I10" s="92"/>
      <c r="J10" s="90"/>
      <c r="K10" s="96"/>
      <c r="L10" s="148"/>
      <c r="M10" s="310" t="s">
        <v>186</v>
      </c>
      <c r="N10" s="311"/>
      <c r="O10" s="311"/>
      <c r="P10" s="311"/>
      <c r="Q10" s="311"/>
      <c r="R10" s="311"/>
      <c r="S10" s="312"/>
    </row>
    <row r="11" spans="1:19" ht="15.75" thickBot="1">
      <c r="A11" s="37" t="s">
        <v>69</v>
      </c>
      <c r="B11" s="272">
        <f>B10+B8+B9</f>
        <v>44431</v>
      </c>
      <c r="C11" s="272"/>
      <c r="D11" s="38"/>
      <c r="E11" s="89"/>
      <c r="F11" s="90"/>
      <c r="G11" s="91"/>
      <c r="H11" s="91"/>
      <c r="I11" s="89"/>
      <c r="J11" s="90"/>
      <c r="K11" s="96"/>
      <c r="L11" s="148"/>
      <c r="M11" s="111" t="s">
        <v>187</v>
      </c>
      <c r="N11" s="110" t="s">
        <v>181</v>
      </c>
      <c r="O11" s="110" t="s">
        <v>182</v>
      </c>
      <c r="P11" s="110" t="s">
        <v>188</v>
      </c>
      <c r="Q11" s="110" t="s">
        <v>192</v>
      </c>
      <c r="R11" s="110" t="s">
        <v>190</v>
      </c>
      <c r="S11" s="121" t="s">
        <v>191</v>
      </c>
    </row>
    <row r="12" spans="1:19" ht="15.75" thickBot="1">
      <c r="A12" s="39" t="s">
        <v>25</v>
      </c>
      <c r="B12" s="273">
        <f>IF(B2=1,K5,IF(B2=2,K6,IF(B2=3,K7,IF(B2=4,K8,IF(B2=5,K9,IF(B2=6,K10,IF(B2=7,K11,IF(B2=8,K12))))))))</f>
        <v>1</v>
      </c>
      <c r="C12" s="273"/>
      <c r="D12" s="38"/>
      <c r="E12" s="92"/>
      <c r="F12" s="90"/>
      <c r="G12" s="91"/>
      <c r="H12" s="91"/>
      <c r="I12" s="92"/>
      <c r="J12" s="90"/>
      <c r="K12" s="96"/>
      <c r="L12" s="148"/>
      <c r="M12" s="122">
        <v>44118</v>
      </c>
      <c r="N12" s="119">
        <v>47994.76</v>
      </c>
      <c r="O12" s="119">
        <v>0</v>
      </c>
      <c r="P12" s="120">
        <f>N12+O12</f>
        <v>47994.76</v>
      </c>
      <c r="Q12" s="93">
        <v>447</v>
      </c>
      <c r="R12" s="151">
        <v>1</v>
      </c>
      <c r="S12" s="168" t="s">
        <v>197</v>
      </c>
    </row>
    <row r="13" spans="1:19">
      <c r="A13" s="37" t="s">
        <v>67</v>
      </c>
      <c r="B13" s="46">
        <f>IF(B$2=1,2,IF(B$2=2,3,IF(B$2=3,4,IF(B$2=4,5,IF(B$2=5,6,IF(B$2=6,7,IF(B$2=7,8)))))))</f>
        <v>4</v>
      </c>
      <c r="C13" s="47">
        <f>IF(B$2=1,F$6,IF(B$2=2,F$7,IF(B$2=3,F$8,IF(B$2=4,F$9,IF(B$2=5,F$10,IF(B$2=6,F$11,IF(B$2=7,F$12)))))))</f>
        <v>44161</v>
      </c>
      <c r="D13" s="38"/>
      <c r="E13" s="93"/>
      <c r="F13" s="93"/>
      <c r="G13" s="93"/>
      <c r="H13" s="93"/>
      <c r="I13" s="93"/>
      <c r="J13" s="93"/>
      <c r="K13" s="94"/>
      <c r="M13" s="169">
        <v>44161</v>
      </c>
      <c r="N13" s="170">
        <v>14634.34</v>
      </c>
      <c r="O13" s="170">
        <v>0</v>
      </c>
      <c r="P13" s="171">
        <f t="shared" ref="P13:P26" si="2">N13+O13</f>
        <v>14634.34</v>
      </c>
      <c r="Q13" s="175">
        <v>447</v>
      </c>
      <c r="R13" s="173">
        <v>1</v>
      </c>
      <c r="S13" s="174" t="s">
        <v>198</v>
      </c>
    </row>
    <row r="14" spans="1:19" ht="30">
      <c r="A14" s="65" t="s">
        <v>84</v>
      </c>
      <c r="B14" s="274">
        <f>IF($B$2=1,H$6-K$5,IF($B$2=2,H$7-K$6,IF($B$2=3,H$8-K$7,IF($B$2=4,H$9-K$8,IF($B$2=5,H$10-K$9,IF($B$2=6,H$11-K$10,IF($B$2=7,H$12-K$11)))))))</f>
        <v>0</v>
      </c>
      <c r="C14" s="274"/>
      <c r="D14" s="41"/>
      <c r="E14" s="305" t="str">
        <f ca="1">IF(TODAY()&gt;C13,"OBRA ATRASADA","")</f>
        <v>OBRA ATRASADA</v>
      </c>
      <c r="F14" s="305"/>
      <c r="G14" s="205" t="str">
        <f ca="1">IF(TODAY()&gt;C13,"EM","")</f>
        <v>EM</v>
      </c>
      <c r="H14" s="205">
        <f ca="1">IF(TODAY()&gt;C13,TODAY()-C13,"")</f>
        <v>316</v>
      </c>
      <c r="I14" s="327" t="str">
        <f t="shared" ref="I14" ca="1" si="3">IF(TODAY()&gt;C13,"DIAS EM RELAÇÃO AO CRONOGRAMA","")</f>
        <v>DIAS EM RELAÇÃO AO CRONOGRAMA</v>
      </c>
      <c r="J14" s="327"/>
      <c r="K14" s="328"/>
      <c r="M14" s="122">
        <v>44216</v>
      </c>
      <c r="N14" s="119">
        <v>94927.060000000012</v>
      </c>
      <c r="O14" s="119">
        <v>244.76</v>
      </c>
      <c r="P14" s="120">
        <f t="shared" si="2"/>
        <v>95171.82</v>
      </c>
      <c r="Q14" s="166">
        <v>202100000000054</v>
      </c>
      <c r="R14" s="151">
        <v>2</v>
      </c>
      <c r="S14" s="168" t="s">
        <v>198</v>
      </c>
    </row>
    <row r="15" spans="1:19">
      <c r="A15" s="49"/>
      <c r="B15" s="36"/>
      <c r="C15" s="36"/>
      <c r="D15" s="36"/>
      <c r="E15" s="36"/>
      <c r="F15" s="36"/>
      <c r="G15" s="36"/>
      <c r="H15" s="36"/>
      <c r="I15" s="36"/>
      <c r="J15" s="36"/>
      <c r="K15" s="64"/>
      <c r="L15" s="149"/>
      <c r="M15" s="169">
        <v>44476</v>
      </c>
      <c r="N15" s="170">
        <v>69832.399999999994</v>
      </c>
      <c r="O15" s="170"/>
      <c r="P15" s="171">
        <f t="shared" si="2"/>
        <v>69832.399999999994</v>
      </c>
      <c r="Q15" s="172">
        <v>202100000000092</v>
      </c>
      <c r="R15" s="173">
        <v>3</v>
      </c>
      <c r="S15" s="174" t="s">
        <v>198</v>
      </c>
    </row>
    <row r="16" spans="1:19">
      <c r="A16" s="49"/>
      <c r="B16" s="36"/>
      <c r="C16" s="36"/>
      <c r="D16" s="36"/>
      <c r="E16" s="36"/>
      <c r="F16" s="36"/>
      <c r="G16" s="36"/>
      <c r="H16" s="36"/>
      <c r="I16" s="36"/>
      <c r="J16" s="36"/>
      <c r="K16" s="64"/>
      <c r="M16" s="122"/>
      <c r="N16" s="119"/>
      <c r="O16" s="119"/>
      <c r="P16" s="120">
        <f t="shared" si="2"/>
        <v>0</v>
      </c>
      <c r="Q16" s="93"/>
      <c r="R16" s="93"/>
      <c r="S16" s="94"/>
    </row>
    <row r="17" spans="1:19" ht="15" customHeight="1">
      <c r="A17" s="330" t="s">
        <v>125</v>
      </c>
      <c r="B17" s="331"/>
      <c r="C17" s="331"/>
      <c r="D17" s="36"/>
      <c r="E17" s="36"/>
      <c r="F17" s="36"/>
      <c r="G17" s="36"/>
      <c r="H17" s="36"/>
      <c r="I17" s="36"/>
      <c r="J17" s="36"/>
      <c r="K17" s="64"/>
      <c r="M17" s="169"/>
      <c r="N17" s="170"/>
      <c r="O17" s="170"/>
      <c r="P17" s="171">
        <f t="shared" si="2"/>
        <v>0</v>
      </c>
      <c r="Q17" s="175"/>
      <c r="R17" s="175"/>
      <c r="S17" s="176"/>
    </row>
    <row r="18" spans="1:19">
      <c r="A18" s="330"/>
      <c r="B18" s="331"/>
      <c r="C18" s="331"/>
      <c r="D18" s="36"/>
      <c r="E18" s="36"/>
      <c r="F18" s="36"/>
      <c r="G18" s="36"/>
      <c r="H18" s="36"/>
      <c r="I18" s="36"/>
      <c r="J18" s="36"/>
      <c r="K18" s="64"/>
      <c r="M18" s="122"/>
      <c r="N18" s="119"/>
      <c r="O18" s="119"/>
      <c r="P18" s="120">
        <f t="shared" si="2"/>
        <v>0</v>
      </c>
      <c r="Q18" s="93"/>
      <c r="R18" s="93"/>
      <c r="S18" s="94"/>
    </row>
    <row r="19" spans="1:19">
      <c r="A19" s="330"/>
      <c r="B19" s="331"/>
      <c r="C19" s="331"/>
      <c r="D19" s="36"/>
      <c r="E19" s="36"/>
      <c r="F19" s="36"/>
      <c r="G19" s="36"/>
      <c r="H19" s="36"/>
      <c r="I19" s="36"/>
      <c r="J19" s="36"/>
      <c r="K19" s="64"/>
      <c r="M19" s="169"/>
      <c r="N19" s="170"/>
      <c r="O19" s="170"/>
      <c r="P19" s="171">
        <f t="shared" si="2"/>
        <v>0</v>
      </c>
      <c r="Q19" s="175"/>
      <c r="R19" s="175"/>
      <c r="S19" s="176"/>
    </row>
    <row r="20" spans="1:19">
      <c r="A20" s="330"/>
      <c r="B20" s="331"/>
      <c r="C20" s="331"/>
      <c r="D20" s="36"/>
      <c r="E20" s="36"/>
      <c r="F20" s="36"/>
      <c r="G20" s="36"/>
      <c r="H20" s="36"/>
      <c r="I20" s="36"/>
      <c r="J20" s="36"/>
      <c r="K20" s="64"/>
      <c r="M20" s="95"/>
      <c r="N20" s="93"/>
      <c r="O20" s="93"/>
      <c r="P20" s="120">
        <f t="shared" si="2"/>
        <v>0</v>
      </c>
      <c r="Q20" s="93"/>
      <c r="R20" s="93"/>
      <c r="S20" s="94"/>
    </row>
    <row r="21" spans="1:19">
      <c r="A21" s="330"/>
      <c r="B21" s="331"/>
      <c r="C21" s="331"/>
      <c r="D21" s="36"/>
      <c r="E21" s="36"/>
      <c r="F21" s="36"/>
      <c r="G21" s="36"/>
      <c r="H21" s="36"/>
      <c r="I21" s="36"/>
      <c r="J21" s="36"/>
      <c r="K21" s="64"/>
      <c r="M21" s="177"/>
      <c r="N21" s="175"/>
      <c r="O21" s="175"/>
      <c r="P21" s="171">
        <f t="shared" si="2"/>
        <v>0</v>
      </c>
      <c r="Q21" s="175"/>
      <c r="R21" s="175"/>
      <c r="S21" s="176"/>
    </row>
    <row r="22" spans="1:19">
      <c r="A22" s="152"/>
      <c r="B22" s="153"/>
      <c r="C22" s="153"/>
      <c r="D22" s="36"/>
      <c r="E22" s="36"/>
      <c r="F22" s="36"/>
      <c r="G22" s="36"/>
      <c r="H22" s="36"/>
      <c r="I22" s="36"/>
      <c r="J22" s="36"/>
      <c r="K22" s="64"/>
      <c r="M22" s="95"/>
      <c r="N22" s="93"/>
      <c r="O22" s="93"/>
      <c r="P22" s="120">
        <f t="shared" si="2"/>
        <v>0</v>
      </c>
      <c r="Q22" s="93"/>
      <c r="R22" s="93"/>
      <c r="S22" s="94"/>
    </row>
    <row r="23" spans="1:19">
      <c r="A23" s="332"/>
      <c r="B23" s="333"/>
      <c r="C23" s="333"/>
      <c r="D23" s="333"/>
      <c r="E23" s="333"/>
      <c r="F23" s="333"/>
      <c r="G23" s="333"/>
      <c r="H23" s="36"/>
      <c r="I23" s="36"/>
      <c r="J23" s="36"/>
      <c r="K23" s="64"/>
      <c r="M23" s="177"/>
      <c r="N23" s="175"/>
      <c r="O23" s="175"/>
      <c r="P23" s="171">
        <f t="shared" si="2"/>
        <v>0</v>
      </c>
      <c r="Q23" s="175"/>
      <c r="R23" s="175"/>
      <c r="S23" s="176"/>
    </row>
    <row r="24" spans="1:19">
      <c r="A24" s="154"/>
      <c r="B24" s="334"/>
      <c r="C24" s="350"/>
      <c r="D24" s="350"/>
      <c r="E24" s="350"/>
      <c r="F24" s="350"/>
      <c r="G24" s="350"/>
      <c r="H24" s="36"/>
      <c r="I24" s="36"/>
      <c r="J24" s="36"/>
      <c r="K24" s="64"/>
      <c r="M24" s="95"/>
      <c r="N24" s="93"/>
      <c r="O24" s="93"/>
      <c r="P24" s="120">
        <f t="shared" si="2"/>
        <v>0</v>
      </c>
      <c r="Q24" s="93"/>
      <c r="R24" s="93"/>
      <c r="S24" s="94"/>
    </row>
    <row r="25" spans="1:19">
      <c r="A25" s="154"/>
      <c r="B25" s="334"/>
      <c r="C25" s="350"/>
      <c r="D25" s="350"/>
      <c r="E25" s="350"/>
      <c r="F25" s="350"/>
      <c r="G25" s="350"/>
      <c r="H25" s="36"/>
      <c r="I25" s="36"/>
      <c r="J25" s="36"/>
      <c r="K25" s="64"/>
      <c r="M25" s="177"/>
      <c r="N25" s="175"/>
      <c r="O25" s="175"/>
      <c r="P25" s="171">
        <f t="shared" si="2"/>
        <v>0</v>
      </c>
      <c r="Q25" s="175"/>
      <c r="R25" s="175"/>
      <c r="S25" s="176"/>
    </row>
    <row r="26" spans="1:19">
      <c r="A26" s="155"/>
      <c r="B26" s="36"/>
      <c r="C26" s="36"/>
      <c r="D26" s="36"/>
      <c r="E26" s="36"/>
      <c r="F26" s="36"/>
      <c r="G26" s="36"/>
      <c r="H26" s="36"/>
      <c r="I26" s="36"/>
      <c r="J26" s="36"/>
      <c r="K26" s="64"/>
      <c r="M26" s="95"/>
      <c r="N26" s="93"/>
      <c r="O26" s="93"/>
      <c r="P26" s="120">
        <f t="shared" si="2"/>
        <v>0</v>
      </c>
      <c r="Q26" s="93"/>
      <c r="R26" s="93"/>
      <c r="S26" s="94"/>
    </row>
    <row r="27" spans="1:19">
      <c r="A27" s="281" t="s">
        <v>169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150"/>
      <c r="M27" s="313" t="s">
        <v>193</v>
      </c>
      <c r="N27" s="314"/>
      <c r="O27" s="314"/>
      <c r="P27" s="314"/>
      <c r="Q27" s="314"/>
      <c r="R27" s="315"/>
      <c r="S27" s="141">
        <f>SUM(P12:P26)</f>
        <v>227633.32</v>
      </c>
    </row>
    <row r="32" spans="1:19">
      <c r="I32" s="189"/>
    </row>
  </sheetData>
  <mergeCells count="28">
    <mergeCell ref="B7:C7"/>
    <mergeCell ref="B8:C8"/>
    <mergeCell ref="M27:R27"/>
    <mergeCell ref="M3:P3"/>
    <mergeCell ref="Q3:R3"/>
    <mergeCell ref="R6:S6"/>
    <mergeCell ref="Q7:Q8"/>
    <mergeCell ref="R1:S1"/>
    <mergeCell ref="A27:K27"/>
    <mergeCell ref="A17:C21"/>
    <mergeCell ref="A23:G23"/>
    <mergeCell ref="B10:C10"/>
    <mergeCell ref="B11:C11"/>
    <mergeCell ref="B14:C14"/>
    <mergeCell ref="E14:F14"/>
    <mergeCell ref="I14:K14"/>
    <mergeCell ref="B24:G24"/>
    <mergeCell ref="B25:G25"/>
    <mergeCell ref="B9:C9"/>
    <mergeCell ref="B1:C1"/>
    <mergeCell ref="E1:K1"/>
    <mergeCell ref="M10:S10"/>
    <mergeCell ref="B12:C12"/>
    <mergeCell ref="H2:K2"/>
    <mergeCell ref="E3:H3"/>
    <mergeCell ref="I3:K3"/>
    <mergeCell ref="B5:C5"/>
    <mergeCell ref="M1:Q1"/>
  </mergeCells>
  <conditionalFormatting sqref="G2">
    <cfRule type="cellIs" dxfId="184" priority="31" operator="greaterThanOrEqual">
      <formula>0</formula>
    </cfRule>
    <cfRule type="cellIs" dxfId="183" priority="32" operator="lessThan">
      <formula>0</formula>
    </cfRule>
  </conditionalFormatting>
  <conditionalFormatting sqref="E14">
    <cfRule type="containsText" dxfId="182" priority="30" operator="containsText" text="OBRA ATRASADA">
      <formula>NOT(ISERROR(SEARCH("OBRA ATRASADA",E14)))</formula>
    </cfRule>
  </conditionalFormatting>
  <conditionalFormatting sqref="H2">
    <cfRule type="cellIs" dxfId="181" priority="27" operator="equal">
      <formula>"BM DENTRO DO ACUMULADO PREVISTO - PODE SER PAGO"</formula>
    </cfRule>
    <cfRule type="cellIs" dxfId="180" priority="28" operator="equal">
      <formula>"BM MENOR DO QUE O PREVISO - MARGEM TOLERÁVEL - LIBERAR PAGAMENTO COM JUSTIFICATIVA"</formula>
    </cfRule>
    <cfRule type="cellIs" dxfId="179" priority="29" operator="equal">
      <formula>"EXECUÇÃO MUITO INFERIOR À PREVISÃO DE ACÚMULO PARA ESTE BM - AGUARDANDO NOVO BM PARA LIBERAR PAGAMENTO"</formula>
    </cfRule>
  </conditionalFormatting>
  <conditionalFormatting sqref="H2">
    <cfRule type="cellIs" dxfId="178" priority="24" operator="equal">
      <formula>"PAGAMENTO DO BM LIBERADO"</formula>
    </cfRule>
    <cfRule type="cellIs" dxfId="177" priority="25" operator="equal">
      <formula>"BM MENOR DO QUE O PREVISO - MARGEM TOLERÁVEL - LIBERAR PAGAMENTO COM JUSTIFICATIVA"</formula>
    </cfRule>
    <cfRule type="cellIs" dxfId="176" priority="26" operator="equal">
      <formula>"EXECUÇÃO MUITO INFERIOR À PREVISTA PARA ESTE BM - AGUARDANDO NOVO BM PARA LIBERAR PAGAMENTO"</formula>
    </cfRule>
  </conditionalFormatting>
  <conditionalFormatting sqref="H2">
    <cfRule type="cellIs" dxfId="175" priority="21" operator="equal">
      <formula>"BM DENTRO DO ACUMULADO PREVISTO - PODE SER PAGO"</formula>
    </cfRule>
    <cfRule type="cellIs" dxfId="174" priority="22" operator="equal">
      <formula>"BM MENOR DO QUE O PREVISO - MARGEM TOLERÁVEL - LIBERAR PAGAMENTO COM JUSTIFICATIVA"</formula>
    </cfRule>
    <cfRule type="cellIs" dxfId="173" priority="23" operator="equal">
      <formula>"EXECUÇÃO MUITO INFERIOR À PREVISÃO DE ACÚMULO PARA ESTE BM - SOLICITAR NOVO BM PARA LIBERAR PAGAMENTO"</formula>
    </cfRule>
  </conditionalFormatting>
  <conditionalFormatting sqref="C13">
    <cfRule type="expression" dxfId="172" priority="20">
      <formula>C13&lt;(TODAY())</formula>
    </cfRule>
  </conditionalFormatting>
  <conditionalFormatting sqref="H2">
    <cfRule type="cellIs" dxfId="171" priority="17" operator="equal">
      <formula>"BM DENTRO DO ACUMULADO PREVISTO - LIBERAR PAGAMENTO"</formula>
    </cfRule>
    <cfRule type="cellIs" dxfId="170" priority="18" operator="equal">
      <formula>"BM MENOR DO QUE O PREVISTO - MARGEM TOLERÁVEL - LIBERAR PAGAMENTO COM JUSTIFICATIVA"</formula>
    </cfRule>
    <cfRule type="cellIs" dxfId="169" priority="19" operator="equal">
      <formula>"EXECUÇÃO MUITO INFERIOR À PREVISÃO DE ACÚMULO PARA ESTE BM - SOLICITAR NOVO BM PARA LIBERAR PAGAMENTO"</formula>
    </cfRule>
  </conditionalFormatting>
  <conditionalFormatting sqref="B14:C14">
    <cfRule type="cellIs" dxfId="168" priority="16" operator="lessThanOrEqual">
      <formula>0</formula>
    </cfRule>
  </conditionalFormatting>
  <conditionalFormatting sqref="A14">
    <cfRule type="expression" dxfId="167" priority="15">
      <formula>$B$13&lt;=0</formula>
    </cfRule>
  </conditionalFormatting>
  <conditionalFormatting sqref="P14:P26">
    <cfRule type="cellIs" dxfId="166" priority="2" operator="lessThanOrEqual">
      <formula>0</formula>
    </cfRule>
  </conditionalFormatting>
  <conditionalFormatting sqref="B14:C14">
    <cfRule type="cellIs" dxfId="165" priority="1" operator="lessThanOrEqual">
      <formula>0</formula>
    </cfRule>
  </conditionalFormatting>
  <printOptions horizontalCentered="1"/>
  <pageMargins left="0.51181102362204722" right="0.51181102362204722" top="1.1811023622047245" bottom="0.78740157480314965" header="0.31496062992125984" footer="0.31496062992125984"/>
  <pageSetup paperSize="9" orientation="landscape" horizontalDpi="4294967293" verticalDpi="4294967293" r:id="rId1"/>
  <headerFooter>
    <oddHeader>&amp;C&amp;G
Prefeitura Municipal de Restinga Sêca
- Acompanhamento de evolução de obra -</oddHeader>
    <oddFooter>&amp;CDocumento impresso em &amp;D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2"/>
  <sheetViews>
    <sheetView zoomScale="85" zoomScaleNormal="85" workbookViewId="0"/>
  </sheetViews>
  <sheetFormatPr defaultRowHeight="15"/>
  <cols>
    <col min="1" max="1" width="27" style="15" bestFit="1" customWidth="1"/>
    <col min="2" max="2" width="13.28515625" style="15" customWidth="1"/>
    <col min="3" max="3" width="15.42578125" style="15" customWidth="1"/>
    <col min="4" max="4" width="0.7109375" style="15" customWidth="1"/>
    <col min="5" max="5" width="3.7109375" style="15" customWidth="1"/>
    <col min="6" max="6" width="12.85546875" style="15" customWidth="1"/>
    <col min="7" max="7" width="10.85546875" style="15" bestFit="1" customWidth="1"/>
    <col min="8" max="8" width="12.140625" style="15" bestFit="1" customWidth="1"/>
    <col min="9" max="9" width="14.5703125" style="15" bestFit="1" customWidth="1"/>
    <col min="10" max="10" width="12.7109375" style="15" bestFit="1" customWidth="1"/>
    <col min="11" max="11" width="12.140625" style="15" bestFit="1" customWidth="1"/>
    <col min="12" max="12" width="1.85546875" style="15" customWidth="1"/>
    <col min="13" max="13" width="17.85546875" style="15" bestFit="1" customWidth="1"/>
    <col min="14" max="14" width="16.5703125" style="15" bestFit="1" customWidth="1"/>
    <col min="15" max="15" width="16.7109375" style="15" bestFit="1" customWidth="1"/>
    <col min="16" max="16" width="16.5703125" style="15" bestFit="1" customWidth="1"/>
    <col min="17" max="17" width="16.42578125" style="15" bestFit="1" customWidth="1"/>
    <col min="18" max="18" width="16" style="15" bestFit="1" customWidth="1"/>
    <col min="19" max="19" width="20" style="15" bestFit="1" customWidth="1"/>
    <col min="20" max="16384" width="9.140625" style="15"/>
  </cols>
  <sheetData>
    <row r="1" spans="1:19" ht="19.5" thickBot="1">
      <c r="A1" s="123" t="s">
        <v>98</v>
      </c>
      <c r="B1" s="326" t="s">
        <v>120</v>
      </c>
      <c r="C1" s="326"/>
      <c r="D1" s="45"/>
      <c r="E1" s="300" t="s">
        <v>128</v>
      </c>
      <c r="F1" s="300"/>
      <c r="G1" s="300"/>
      <c r="H1" s="300"/>
      <c r="I1" s="300"/>
      <c r="J1" s="300"/>
      <c r="K1" s="301"/>
      <c r="L1" s="198"/>
      <c r="M1" s="306" t="s">
        <v>179</v>
      </c>
      <c r="N1" s="307"/>
      <c r="O1" s="307"/>
      <c r="P1" s="307"/>
      <c r="Q1" s="307"/>
      <c r="R1" s="308" t="str">
        <f>B1</f>
        <v>889.314/2019</v>
      </c>
      <c r="S1" s="309"/>
    </row>
    <row r="2" spans="1:19" ht="31.5" customHeight="1" thickBot="1">
      <c r="A2" s="48" t="s">
        <v>66</v>
      </c>
      <c r="B2" s="35">
        <v>3</v>
      </c>
      <c r="C2" s="42">
        <f>IF(B2=1,I5,IF(B2=2,I6,IF(B2=3,I7,IF(B2=4,I8,IF(B2=5,I9,IF(B2=6,I10))))))</f>
        <v>44379</v>
      </c>
      <c r="D2" s="51"/>
      <c r="E2" s="51"/>
      <c r="F2" s="50" t="s">
        <v>68</v>
      </c>
      <c r="G2" s="44">
        <f>IF(B2=1,K5-H5,IF(B2=2,K6-H6,IF(B2=3,K7-H7,IF(B2=4,K8-H8,IF(B2=5,K9-H9,IF(B2=6,K10-H10,IF(B2=7,K11-H11,IF(B2=8,K12-H12))))))))</f>
        <v>4.7100000000000031E-2</v>
      </c>
      <c r="H2" s="282" t="str">
        <f>IF(G2&lt;=-0.0501,"EXECUÇÃO MUITO INFERIOR À PREVISÃO DE ACÚMULO PARA ESTE BM - SOLICITAR NOVO BM PARA LIBERAR PAGAMENTO",IF(G2&lt;0,"BM MENOR DO QUE O PREVISTO - MARGEM TOLERÁVEL - LIBERAR PAGAMENTO COM JUSTIFICATIVA",IF(G2&gt;=0,"BM DENTRO DO ACUMULADO PREVISTO - LIBERAR PAGAMENTO")))</f>
        <v>BM DENTRO DO ACUMULADO PREVISTO - LIBERAR PAGAMENTO</v>
      </c>
      <c r="I2" s="282"/>
      <c r="J2" s="282"/>
      <c r="K2" s="283"/>
      <c r="L2" s="198"/>
      <c r="M2" s="125" t="s">
        <v>180</v>
      </c>
      <c r="N2" s="113" t="s">
        <v>181</v>
      </c>
      <c r="O2" s="113">
        <f>N4-S7</f>
        <v>5284.5200000000186</v>
      </c>
      <c r="P2" s="114" t="s">
        <v>182</v>
      </c>
      <c r="Q2" s="127">
        <f>P4-S8</f>
        <v>0</v>
      </c>
      <c r="R2" s="128" t="s">
        <v>189</v>
      </c>
      <c r="S2" s="129">
        <f>O2+Q2</f>
        <v>5284.5200000000186</v>
      </c>
    </row>
    <row r="3" spans="1:19" ht="15.75" thickBot="1">
      <c r="A3" s="37" t="s">
        <v>210</v>
      </c>
      <c r="B3" s="192" t="s">
        <v>127</v>
      </c>
      <c r="C3" s="193">
        <v>44417</v>
      </c>
      <c r="D3" s="38"/>
      <c r="E3" s="285" t="s">
        <v>64</v>
      </c>
      <c r="F3" s="286"/>
      <c r="G3" s="286"/>
      <c r="H3" s="286"/>
      <c r="I3" s="287" t="s">
        <v>65</v>
      </c>
      <c r="J3" s="287"/>
      <c r="K3" s="288"/>
      <c r="L3" s="198"/>
      <c r="M3" s="316" t="s">
        <v>183</v>
      </c>
      <c r="N3" s="317"/>
      <c r="O3" s="317"/>
      <c r="P3" s="318"/>
      <c r="Q3" s="319" t="s">
        <v>194</v>
      </c>
      <c r="R3" s="320"/>
      <c r="S3" s="130" t="s">
        <v>184</v>
      </c>
    </row>
    <row r="4" spans="1:19" ht="15.75" thickBot="1">
      <c r="A4" s="39" t="s">
        <v>211</v>
      </c>
      <c r="B4" s="194" t="s">
        <v>203</v>
      </c>
      <c r="C4" s="202">
        <v>44394</v>
      </c>
      <c r="D4" s="38"/>
      <c r="E4" s="52" t="s">
        <v>58</v>
      </c>
      <c r="F4" s="53" t="s">
        <v>61</v>
      </c>
      <c r="G4" s="54" t="s">
        <v>59</v>
      </c>
      <c r="H4" s="54" t="s">
        <v>63</v>
      </c>
      <c r="I4" s="55" t="s">
        <v>60</v>
      </c>
      <c r="J4" s="55" t="s">
        <v>62</v>
      </c>
      <c r="K4" s="56" t="s">
        <v>63</v>
      </c>
      <c r="L4" s="198"/>
      <c r="M4" s="131" t="s">
        <v>181</v>
      </c>
      <c r="N4" s="132">
        <f>SUM(N5:N8)</f>
        <v>285250</v>
      </c>
      <c r="O4" s="133" t="s">
        <v>182</v>
      </c>
      <c r="P4" s="134">
        <f>SUM(P5:P8)</f>
        <v>298.14999999999998</v>
      </c>
      <c r="Q4" s="135" t="s">
        <v>181</v>
      </c>
      <c r="R4" s="109">
        <v>285250</v>
      </c>
      <c r="S4" s="137">
        <f>R4-N4</f>
        <v>0</v>
      </c>
    </row>
    <row r="5" spans="1:19" ht="15.75" thickBot="1">
      <c r="A5" s="72" t="s">
        <v>86</v>
      </c>
      <c r="B5" s="291" t="s">
        <v>126</v>
      </c>
      <c r="C5" s="291"/>
      <c r="D5" s="38"/>
      <c r="E5" s="57">
        <v>1</v>
      </c>
      <c r="F5" s="58">
        <f>B10+30</f>
        <v>44087</v>
      </c>
      <c r="G5" s="59">
        <v>0.13780000000000001</v>
      </c>
      <c r="H5" s="59">
        <f>G5</f>
        <v>0.13780000000000001</v>
      </c>
      <c r="I5" s="60">
        <v>44217</v>
      </c>
      <c r="J5" s="61">
        <v>0.26340000000000002</v>
      </c>
      <c r="K5" s="63">
        <f>J5</f>
        <v>0.26340000000000002</v>
      </c>
      <c r="L5" s="198"/>
      <c r="M5" s="164">
        <v>44055</v>
      </c>
      <c r="N5" s="157">
        <v>57050</v>
      </c>
      <c r="O5" s="118">
        <v>44223</v>
      </c>
      <c r="P5" s="119">
        <v>298.14999999999998</v>
      </c>
      <c r="Q5" s="142" t="s">
        <v>182</v>
      </c>
      <c r="R5" s="109">
        <v>298.14999999999998</v>
      </c>
      <c r="S5" s="117">
        <f>R5-P4</f>
        <v>0</v>
      </c>
    </row>
    <row r="6" spans="1:19" ht="15.75" thickBot="1">
      <c r="A6" s="71" t="s">
        <v>221</v>
      </c>
      <c r="B6" s="224">
        <f>280263.63</f>
        <v>280263.63</v>
      </c>
      <c r="C6" s="224">
        <v>11010.06</v>
      </c>
      <c r="D6" s="38"/>
      <c r="E6" s="57">
        <v>2</v>
      </c>
      <c r="F6" s="58">
        <f>F5+30</f>
        <v>44117</v>
      </c>
      <c r="G6" s="59">
        <v>0.3322</v>
      </c>
      <c r="H6" s="59">
        <f>H5+G6</f>
        <v>0.47</v>
      </c>
      <c r="I6" s="60">
        <v>44321</v>
      </c>
      <c r="J6" s="61">
        <v>0.39419999999999999</v>
      </c>
      <c r="K6" s="63">
        <f>K5+J6</f>
        <v>0.65759999999999996</v>
      </c>
      <c r="L6" s="198"/>
      <c r="M6" s="122">
        <v>44354</v>
      </c>
      <c r="N6" s="119">
        <v>228200</v>
      </c>
      <c r="O6" s="118"/>
      <c r="P6" s="119"/>
      <c r="Q6" s="143" t="s">
        <v>195</v>
      </c>
      <c r="R6" s="321" t="s">
        <v>185</v>
      </c>
      <c r="S6" s="322"/>
    </row>
    <row r="7" spans="1:19" ht="15.75" customHeight="1" thickBot="1">
      <c r="A7" s="37" t="s">
        <v>57</v>
      </c>
      <c r="B7" s="353" t="s">
        <v>101</v>
      </c>
      <c r="C7" s="353"/>
      <c r="D7" s="38"/>
      <c r="E7" s="57">
        <v>3</v>
      </c>
      <c r="F7" s="58">
        <f t="shared" ref="F7:F8" si="0">F6+30</f>
        <v>44147</v>
      </c>
      <c r="G7" s="59">
        <v>0.4829</v>
      </c>
      <c r="H7" s="59">
        <f>H6+G7</f>
        <v>0.95289999999999997</v>
      </c>
      <c r="I7" s="60">
        <v>44379</v>
      </c>
      <c r="J7" s="61">
        <v>0.34239999999999998</v>
      </c>
      <c r="K7" s="63">
        <f>K6+J7</f>
        <v>1</v>
      </c>
      <c r="L7" s="198"/>
      <c r="M7" s="122"/>
      <c r="N7" s="124"/>
      <c r="O7" s="118"/>
      <c r="P7" s="119"/>
      <c r="Q7" s="323" t="s">
        <v>199</v>
      </c>
      <c r="R7" s="115" t="s">
        <v>181</v>
      </c>
      <c r="S7" s="139">
        <f>SUM(N12:N27)</f>
        <v>279965.48</v>
      </c>
    </row>
    <row r="8" spans="1:19" ht="15.75" customHeight="1" thickBot="1">
      <c r="A8" s="209" t="s">
        <v>95</v>
      </c>
      <c r="B8" s="303">
        <v>120</v>
      </c>
      <c r="C8" s="303"/>
      <c r="D8" s="38"/>
      <c r="E8" s="57">
        <v>4</v>
      </c>
      <c r="F8" s="58">
        <f t="shared" si="0"/>
        <v>44177</v>
      </c>
      <c r="G8" s="59">
        <v>4.7100000000000003E-2</v>
      </c>
      <c r="H8" s="59">
        <f t="shared" ref="H8" si="1">H7+G8</f>
        <v>1</v>
      </c>
      <c r="I8" s="60"/>
      <c r="J8" s="61"/>
      <c r="K8" s="63">
        <f>K7+J8</f>
        <v>1</v>
      </c>
      <c r="L8" s="198"/>
      <c r="M8" s="95"/>
      <c r="N8" s="93"/>
      <c r="O8" s="93"/>
      <c r="P8" s="93"/>
      <c r="Q8" s="324"/>
      <c r="R8" s="116" t="s">
        <v>182</v>
      </c>
      <c r="S8" s="140">
        <f>SUM(O12:O27)</f>
        <v>298.14999999999998</v>
      </c>
    </row>
    <row r="9" spans="1:19" ht="15.75" thickBot="1">
      <c r="A9" s="76" t="s">
        <v>96</v>
      </c>
      <c r="B9" s="284">
        <f>120+60+60</f>
        <v>240</v>
      </c>
      <c r="C9" s="284"/>
      <c r="D9" s="38"/>
      <c r="E9" s="57"/>
      <c r="F9" s="58"/>
      <c r="G9" s="59"/>
      <c r="H9" s="59"/>
      <c r="I9" s="60"/>
      <c r="J9" s="61"/>
      <c r="K9" s="63"/>
      <c r="L9" s="198"/>
      <c r="M9" s="95"/>
      <c r="N9" s="93"/>
      <c r="O9" s="93"/>
      <c r="P9" s="93"/>
      <c r="Q9" s="93"/>
      <c r="R9" s="93"/>
      <c r="S9" s="126"/>
    </row>
    <row r="10" spans="1:19" ht="15.75" thickBot="1">
      <c r="A10" s="39" t="s">
        <v>36</v>
      </c>
      <c r="B10" s="271">
        <v>44057</v>
      </c>
      <c r="C10" s="271"/>
      <c r="D10" s="40"/>
      <c r="E10" s="57"/>
      <c r="F10" s="58"/>
      <c r="G10" s="59"/>
      <c r="H10" s="59"/>
      <c r="I10" s="62"/>
      <c r="J10" s="61"/>
      <c r="K10" s="63"/>
      <c r="L10" s="198"/>
      <c r="M10" s="310" t="s">
        <v>186</v>
      </c>
      <c r="N10" s="311"/>
      <c r="O10" s="311"/>
      <c r="P10" s="311"/>
      <c r="Q10" s="311"/>
      <c r="R10" s="311"/>
      <c r="S10" s="312"/>
    </row>
    <row r="11" spans="1:19" ht="15.75" thickBot="1">
      <c r="A11" s="37" t="s">
        <v>69</v>
      </c>
      <c r="B11" s="272">
        <f>B10+B8+B9</f>
        <v>44417</v>
      </c>
      <c r="C11" s="272"/>
      <c r="D11" s="38"/>
      <c r="E11" s="89"/>
      <c r="F11" s="90"/>
      <c r="G11" s="91"/>
      <c r="H11" s="91"/>
      <c r="I11" s="89"/>
      <c r="J11" s="90"/>
      <c r="K11" s="96"/>
      <c r="L11" s="198"/>
      <c r="M11" s="111" t="s">
        <v>187</v>
      </c>
      <c r="N11" s="110" t="s">
        <v>181</v>
      </c>
      <c r="O11" s="110" t="s">
        <v>182</v>
      </c>
      <c r="P11" s="110" t="s">
        <v>188</v>
      </c>
      <c r="Q11" s="110" t="s">
        <v>192</v>
      </c>
      <c r="R11" s="110" t="s">
        <v>190</v>
      </c>
      <c r="S11" s="121" t="s">
        <v>191</v>
      </c>
    </row>
    <row r="12" spans="1:19" ht="15.75" thickBot="1">
      <c r="A12" s="39" t="s">
        <v>25</v>
      </c>
      <c r="B12" s="273">
        <f>IF(B2=1,K5,IF(B2=2,K6,IF(B2=3,K7,IF(B2=4,K8,IF(B2=5,K9,IF(B2=6,K10,IF(B2=7,K11,IF(B2=8,K12))))))))</f>
        <v>1</v>
      </c>
      <c r="C12" s="273"/>
      <c r="D12" s="38"/>
      <c r="E12" s="92"/>
      <c r="F12" s="90"/>
      <c r="G12" s="91"/>
      <c r="H12" s="91"/>
      <c r="I12" s="92"/>
      <c r="J12" s="90"/>
      <c r="K12" s="96"/>
      <c r="L12" s="198"/>
      <c r="M12" s="122">
        <v>44223</v>
      </c>
      <c r="N12" s="119">
        <v>21846.91</v>
      </c>
      <c r="O12" s="119">
        <v>298.14999999999998</v>
      </c>
      <c r="P12" s="120">
        <f t="shared" ref="P12:P26" si="2">N12+O12</f>
        <v>22145.06</v>
      </c>
      <c r="Q12" s="166">
        <v>202100000000028</v>
      </c>
      <c r="R12" s="151">
        <v>1</v>
      </c>
      <c r="S12" s="168" t="s">
        <v>198</v>
      </c>
    </row>
    <row r="13" spans="1:19">
      <c r="A13" s="37" t="s">
        <v>67</v>
      </c>
      <c r="B13" s="46">
        <f>IF(B$2=1,2,IF(B$2=2,3,IF(B$2=3,4,IF(B$2=4,5,IF(B$2=5,6,IF(B$2=6,7,IF(B$2=7,8)))))))</f>
        <v>4</v>
      </c>
      <c r="C13" s="47">
        <f>IF(B$2=1,F$6,IF(B$2=2,F$7,IF(B$2=3,F$8,IF(B$2=4,F$9,IF(B$2=5,F$10,IF(B$2=6,F$11,IF(B$2=7,F$12)))))))</f>
        <v>44177</v>
      </c>
      <c r="D13" s="38"/>
      <c r="E13" s="93"/>
      <c r="F13" s="93"/>
      <c r="G13" s="93"/>
      <c r="H13" s="93"/>
      <c r="I13" s="93"/>
      <c r="J13" s="93"/>
      <c r="K13" s="94"/>
      <c r="L13" s="198"/>
      <c r="M13" s="169">
        <v>44223</v>
      </c>
      <c r="N13" s="170">
        <f>51671.8-16468.71</f>
        <v>35203.090000000004</v>
      </c>
      <c r="O13" s="170">
        <v>0</v>
      </c>
      <c r="P13" s="171">
        <f t="shared" si="2"/>
        <v>35203.090000000004</v>
      </c>
      <c r="Q13" s="181">
        <v>32775756</v>
      </c>
      <c r="R13" s="173">
        <v>1</v>
      </c>
      <c r="S13" s="174" t="s">
        <v>197</v>
      </c>
    </row>
    <row r="14" spans="1:19" ht="30">
      <c r="A14" s="65" t="s">
        <v>84</v>
      </c>
      <c r="B14" s="274">
        <f>IF($B$2=1,H$6-K$5,IF($B$2=2,H$7-K$6,IF($B$2=3,H$8-K$7,IF($B$2=4,H$9-K$8,IF($B$2=5,H$10-K$9,IF($B$2=6,H$11-K$10,IF($B$2=7,H$12-K$11)))))))</f>
        <v>0</v>
      </c>
      <c r="C14" s="274"/>
      <c r="D14" s="41"/>
      <c r="E14" s="305" t="str">
        <f ca="1">IF(TODAY()&gt;C13,"OBRA ATRASADA","")</f>
        <v>OBRA ATRASADA</v>
      </c>
      <c r="F14" s="305"/>
      <c r="G14" s="205" t="str">
        <f ca="1">IF(TODAY()&gt;C13,"EM","")</f>
        <v>EM</v>
      </c>
      <c r="H14" s="205">
        <f ca="1">IF(TODAY()&gt;C13,TODAY()-C13,"")</f>
        <v>300</v>
      </c>
      <c r="I14" s="327" t="str">
        <f t="shared" ref="I14" ca="1" si="3">IF(TODAY()&gt;C13,"DIAS EM RELAÇÃO AO CRONOGRAMA","")</f>
        <v>DIAS EM RELAÇÃO AO CRONOGRAMA</v>
      </c>
      <c r="J14" s="327"/>
      <c r="K14" s="328"/>
      <c r="L14" s="198"/>
      <c r="M14" s="122">
        <v>44382</v>
      </c>
      <c r="N14" s="226">
        <v>16468.71</v>
      </c>
      <c r="O14" s="119">
        <v>0</v>
      </c>
      <c r="P14" s="189">
        <f>N14+O14</f>
        <v>16468.71</v>
      </c>
      <c r="Q14" s="225">
        <f>Q13</f>
        <v>32775756</v>
      </c>
      <c r="R14" s="151">
        <v>1</v>
      </c>
      <c r="S14" s="168" t="s">
        <v>198</v>
      </c>
    </row>
    <row r="15" spans="1:19">
      <c r="A15" s="49"/>
      <c r="B15" s="36"/>
      <c r="C15" s="36"/>
      <c r="D15" s="36"/>
      <c r="E15" s="36"/>
      <c r="F15" s="36"/>
      <c r="G15" s="36"/>
      <c r="H15" s="36"/>
      <c r="I15" s="36"/>
      <c r="J15" s="36"/>
      <c r="K15" s="64"/>
      <c r="L15" s="198"/>
      <c r="M15" s="169">
        <v>44382</v>
      </c>
      <c r="N15" s="170">
        <v>110476.96</v>
      </c>
      <c r="O15" s="170">
        <v>0</v>
      </c>
      <c r="P15" s="171">
        <f>N15+O15</f>
        <v>110476.96</v>
      </c>
      <c r="Q15" s="172">
        <v>202100000000049</v>
      </c>
      <c r="R15" s="173">
        <v>2</v>
      </c>
      <c r="S15" s="174" t="s">
        <v>198</v>
      </c>
    </row>
    <row r="16" spans="1:19">
      <c r="A16" s="49"/>
      <c r="B16" s="36"/>
      <c r="C16" s="36"/>
      <c r="D16" s="36"/>
      <c r="E16" s="36"/>
      <c r="F16" s="36"/>
      <c r="G16" s="36"/>
      <c r="H16" s="36"/>
      <c r="I16" s="36"/>
      <c r="J16" s="36"/>
      <c r="K16" s="64"/>
      <c r="M16" s="122">
        <v>44400</v>
      </c>
      <c r="N16" s="119">
        <v>82792.259999999995</v>
      </c>
      <c r="O16" s="119">
        <v>0</v>
      </c>
      <c r="P16" s="120">
        <f>N16+O16</f>
        <v>82792.259999999995</v>
      </c>
      <c r="Q16" s="166">
        <v>202100000000060</v>
      </c>
      <c r="R16" s="151">
        <v>3</v>
      </c>
      <c r="S16" s="168" t="s">
        <v>197</v>
      </c>
    </row>
    <row r="17" spans="1:19" ht="15" customHeight="1">
      <c r="A17" s="330" t="s">
        <v>129</v>
      </c>
      <c r="B17" s="331"/>
      <c r="C17" s="331"/>
      <c r="D17" s="36"/>
      <c r="E17" s="36"/>
      <c r="F17" s="36"/>
      <c r="G17" s="36"/>
      <c r="H17" s="36"/>
      <c r="I17" s="36"/>
      <c r="J17" s="36"/>
      <c r="K17" s="64"/>
      <c r="M17" s="169">
        <v>44463</v>
      </c>
      <c r="N17" s="170">
        <v>13177.55</v>
      </c>
      <c r="O17" s="170">
        <v>0</v>
      </c>
      <c r="P17" s="171">
        <f t="shared" si="2"/>
        <v>13177.55</v>
      </c>
      <c r="Q17" s="172">
        <v>202100000000060</v>
      </c>
      <c r="R17" s="173">
        <v>3</v>
      </c>
      <c r="S17" s="174" t="s">
        <v>198</v>
      </c>
    </row>
    <row r="18" spans="1:19">
      <c r="A18" s="330"/>
      <c r="B18" s="331"/>
      <c r="C18" s="331"/>
      <c r="D18" s="36"/>
      <c r="E18" s="36"/>
      <c r="F18" s="36"/>
      <c r="G18" s="36"/>
      <c r="H18" s="354"/>
      <c r="I18" s="355"/>
      <c r="J18" s="182"/>
      <c r="K18" s="183"/>
      <c r="M18" s="122"/>
      <c r="N18" s="119"/>
      <c r="O18" s="119"/>
      <c r="P18" s="120">
        <f t="shared" si="2"/>
        <v>0</v>
      </c>
      <c r="Q18" s="93"/>
      <c r="R18" s="93"/>
      <c r="S18" s="94"/>
    </row>
    <row r="19" spans="1:19">
      <c r="A19" s="330"/>
      <c r="B19" s="331"/>
      <c r="C19" s="331"/>
      <c r="D19" s="36"/>
      <c r="E19" s="36"/>
      <c r="F19" s="36"/>
      <c r="G19" s="36"/>
      <c r="H19" s="36"/>
      <c r="I19" s="36"/>
      <c r="J19" s="36"/>
      <c r="K19" s="64"/>
      <c r="M19" s="169"/>
      <c r="N19" s="170"/>
      <c r="O19" s="170"/>
      <c r="P19" s="171">
        <f t="shared" si="2"/>
        <v>0</v>
      </c>
      <c r="Q19" s="175"/>
      <c r="R19" s="175"/>
      <c r="S19" s="176"/>
    </row>
    <row r="20" spans="1:19">
      <c r="A20" s="330"/>
      <c r="B20" s="331"/>
      <c r="C20" s="331"/>
      <c r="D20" s="36"/>
      <c r="E20" s="36"/>
      <c r="F20" s="36"/>
      <c r="G20" s="36"/>
      <c r="H20" s="36"/>
      <c r="I20" s="36"/>
      <c r="J20" s="36"/>
      <c r="K20" s="64"/>
      <c r="M20" s="95"/>
      <c r="N20" s="93"/>
      <c r="O20" s="93"/>
      <c r="P20" s="120">
        <f t="shared" si="2"/>
        <v>0</v>
      </c>
      <c r="Q20" s="93"/>
      <c r="R20" s="93"/>
      <c r="S20" s="94"/>
    </row>
    <row r="21" spans="1:19">
      <c r="A21" s="330"/>
      <c r="B21" s="331"/>
      <c r="C21" s="331"/>
      <c r="D21" s="36"/>
      <c r="E21" s="36"/>
      <c r="F21" s="36"/>
      <c r="G21" s="36"/>
      <c r="H21" s="36"/>
      <c r="I21" s="36"/>
      <c r="J21" s="36"/>
      <c r="K21" s="64"/>
      <c r="M21" s="177"/>
      <c r="N21" s="175"/>
      <c r="O21" s="175"/>
      <c r="P21" s="171">
        <f t="shared" si="2"/>
        <v>0</v>
      </c>
      <c r="Q21" s="175"/>
      <c r="R21" s="175"/>
      <c r="S21" s="176"/>
    </row>
    <row r="22" spans="1:19">
      <c r="A22" s="152"/>
      <c r="B22" s="153"/>
      <c r="C22" s="153"/>
      <c r="D22" s="36"/>
      <c r="E22" s="36"/>
      <c r="F22" s="36"/>
      <c r="G22" s="36"/>
      <c r="H22" s="36"/>
      <c r="I22" s="36"/>
      <c r="J22" s="36"/>
      <c r="K22" s="64"/>
      <c r="M22" s="95"/>
      <c r="N22" s="93"/>
      <c r="O22" s="93"/>
      <c r="P22" s="120">
        <f t="shared" si="2"/>
        <v>0</v>
      </c>
      <c r="Q22" s="93"/>
      <c r="R22" s="93"/>
      <c r="S22" s="94"/>
    </row>
    <row r="23" spans="1:19">
      <c r="A23" s="234"/>
      <c r="B23" s="235"/>
      <c r="C23" s="235"/>
      <c r="D23" s="235"/>
      <c r="E23" s="235"/>
      <c r="F23" s="235"/>
      <c r="G23" s="235"/>
      <c r="H23" s="36"/>
      <c r="I23" s="36"/>
      <c r="J23" s="36"/>
      <c r="K23" s="64"/>
      <c r="M23" s="177"/>
      <c r="N23" s="175"/>
      <c r="O23" s="175"/>
      <c r="P23" s="171">
        <f t="shared" si="2"/>
        <v>0</v>
      </c>
      <c r="Q23" s="175"/>
      <c r="R23" s="175"/>
      <c r="S23" s="176"/>
    </row>
    <row r="24" spans="1:19">
      <c r="A24" s="49"/>
      <c r="B24" s="36"/>
      <c r="C24" s="36"/>
      <c r="D24" s="36"/>
      <c r="E24" s="36"/>
      <c r="F24" s="36"/>
      <c r="G24" s="36"/>
      <c r="H24" s="36"/>
      <c r="I24" s="36"/>
      <c r="J24" s="36"/>
      <c r="K24" s="64"/>
      <c r="M24" s="95"/>
      <c r="N24" s="93"/>
      <c r="O24" s="93"/>
      <c r="P24" s="120">
        <f t="shared" si="2"/>
        <v>0</v>
      </c>
      <c r="Q24" s="93"/>
      <c r="R24" s="93"/>
      <c r="S24" s="94"/>
    </row>
    <row r="25" spans="1:19">
      <c r="A25" s="49"/>
      <c r="B25" s="36"/>
      <c r="C25" s="36"/>
      <c r="D25" s="36"/>
      <c r="E25" s="36"/>
      <c r="F25" s="36"/>
      <c r="G25" s="36"/>
      <c r="H25" s="36"/>
      <c r="I25" s="36"/>
      <c r="J25" s="36"/>
      <c r="K25" s="64"/>
      <c r="M25" s="177"/>
      <c r="N25" s="175"/>
      <c r="O25" s="175"/>
      <c r="P25" s="171">
        <f t="shared" si="2"/>
        <v>0</v>
      </c>
      <c r="Q25" s="175"/>
      <c r="R25" s="175"/>
      <c r="S25" s="176"/>
    </row>
    <row r="26" spans="1:19">
      <c r="A26" s="49"/>
      <c r="B26" s="36"/>
      <c r="C26" s="36"/>
      <c r="D26" s="36"/>
      <c r="E26" s="36"/>
      <c r="F26" s="36"/>
      <c r="G26" s="36"/>
      <c r="H26" s="36"/>
      <c r="I26" s="36"/>
      <c r="J26" s="36"/>
      <c r="K26" s="64"/>
      <c r="M26" s="95"/>
      <c r="N26" s="93"/>
      <c r="O26" s="93"/>
      <c r="P26" s="120">
        <f t="shared" si="2"/>
        <v>0</v>
      </c>
      <c r="Q26" s="93"/>
      <c r="R26" s="93"/>
      <c r="S26" s="94"/>
    </row>
    <row r="27" spans="1:19">
      <c r="A27" s="281" t="s">
        <v>169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M27" s="313" t="s">
        <v>193</v>
      </c>
      <c r="N27" s="314"/>
      <c r="O27" s="314"/>
      <c r="P27" s="314"/>
      <c r="Q27" s="314"/>
      <c r="R27" s="315"/>
      <c r="S27" s="141">
        <f>SUM(P12:P26)</f>
        <v>280263.63</v>
      </c>
    </row>
    <row r="29" spans="1:19">
      <c r="P29" s="165"/>
    </row>
    <row r="30" spans="1:19">
      <c r="P30" s="165"/>
    </row>
    <row r="31" spans="1:19">
      <c r="M31" s="165"/>
      <c r="O31" s="189"/>
      <c r="P31" s="189"/>
      <c r="Q31" s="189"/>
    </row>
    <row r="32" spans="1:19">
      <c r="P32" s="189"/>
    </row>
  </sheetData>
  <mergeCells count="26">
    <mergeCell ref="B10:C10"/>
    <mergeCell ref="B11:C11"/>
    <mergeCell ref="B12:C12"/>
    <mergeCell ref="A27:K27"/>
    <mergeCell ref="A17:C21"/>
    <mergeCell ref="B14:C14"/>
    <mergeCell ref="E14:F14"/>
    <mergeCell ref="I14:K14"/>
    <mergeCell ref="H18:I18"/>
    <mergeCell ref="B9:C9"/>
    <mergeCell ref="B1:C1"/>
    <mergeCell ref="E1:K1"/>
    <mergeCell ref="H2:K2"/>
    <mergeCell ref="E3:H3"/>
    <mergeCell ref="I3:K3"/>
    <mergeCell ref="B5:C5"/>
    <mergeCell ref="B7:C7"/>
    <mergeCell ref="B8:C8"/>
    <mergeCell ref="M1:Q1"/>
    <mergeCell ref="R1:S1"/>
    <mergeCell ref="M10:S10"/>
    <mergeCell ref="M27:R27"/>
    <mergeCell ref="M3:P3"/>
    <mergeCell ref="Q3:R3"/>
    <mergeCell ref="R6:S6"/>
    <mergeCell ref="Q7:Q8"/>
  </mergeCells>
  <conditionalFormatting sqref="G2">
    <cfRule type="cellIs" dxfId="164" priority="19" operator="greaterThanOrEqual">
      <formula>0</formula>
    </cfRule>
    <cfRule type="cellIs" dxfId="163" priority="20" operator="lessThan">
      <formula>0</formula>
    </cfRule>
  </conditionalFormatting>
  <conditionalFormatting sqref="E14">
    <cfRule type="containsText" dxfId="162" priority="18" operator="containsText" text="OBRA ATRASADA">
      <formula>NOT(ISERROR(SEARCH("OBRA ATRASADA",E14)))</formula>
    </cfRule>
  </conditionalFormatting>
  <conditionalFormatting sqref="H2">
    <cfRule type="cellIs" dxfId="161" priority="15" operator="equal">
      <formula>"BM DENTRO DO ACUMULADO PREVISTO - PODE SER PAGO"</formula>
    </cfRule>
    <cfRule type="cellIs" dxfId="160" priority="16" operator="equal">
      <formula>"BM MENOR DO QUE O PREVISO - MARGEM TOLERÁVEL - LIBERAR PAGAMENTO COM JUSTIFICATIVA"</formula>
    </cfRule>
    <cfRule type="cellIs" dxfId="159" priority="17" operator="equal">
      <formula>"EXECUÇÃO MUITO INFERIOR À PREVISÃO DE ACÚMULO PARA ESTE BM - AGUARDANDO NOVO BM PARA LIBERAR PAGAMENTO"</formula>
    </cfRule>
  </conditionalFormatting>
  <conditionalFormatting sqref="H2">
    <cfRule type="cellIs" dxfId="158" priority="12" operator="equal">
      <formula>"PAGAMENTO DO BM LIBERADO"</formula>
    </cfRule>
    <cfRule type="cellIs" dxfId="157" priority="13" operator="equal">
      <formula>"BM MENOR DO QUE O PREVISO - MARGEM TOLERÁVEL - LIBERAR PAGAMENTO COM JUSTIFICATIVA"</formula>
    </cfRule>
    <cfRule type="cellIs" dxfId="156" priority="14" operator="equal">
      <formula>"EXECUÇÃO MUITO INFERIOR À PREVISTA PARA ESTE BM - AGUARDANDO NOVO BM PARA LIBERAR PAGAMENTO"</formula>
    </cfRule>
  </conditionalFormatting>
  <conditionalFormatting sqref="H2">
    <cfRule type="cellIs" dxfId="155" priority="9" operator="equal">
      <formula>"BM DENTRO DO ACUMULADO PREVISTO - PODE SER PAGO"</formula>
    </cfRule>
    <cfRule type="cellIs" dxfId="154" priority="10" operator="equal">
      <formula>"BM MENOR DO QUE O PREVISO - MARGEM TOLERÁVEL - LIBERAR PAGAMENTO COM JUSTIFICATIVA"</formula>
    </cfRule>
    <cfRule type="cellIs" dxfId="153" priority="11" operator="equal">
      <formula>"EXECUÇÃO MUITO INFERIOR À PREVISÃO DE ACÚMULO PARA ESTE BM - SOLICITAR NOVO BM PARA LIBERAR PAGAMENTO"</formula>
    </cfRule>
  </conditionalFormatting>
  <conditionalFormatting sqref="C13">
    <cfRule type="expression" dxfId="152" priority="8">
      <formula>C13&lt;(TODAY())</formula>
    </cfRule>
  </conditionalFormatting>
  <conditionalFormatting sqref="H2">
    <cfRule type="cellIs" dxfId="151" priority="5" operator="equal">
      <formula>"BM DENTRO DO ACUMULADO PREVISTO - LIBERAR PAGAMENTO"</formula>
    </cfRule>
    <cfRule type="cellIs" dxfId="150" priority="6" operator="equal">
      <formula>"BM MENOR DO QUE O PREVISTO - MARGEM TOLERÁVEL - LIBERAR PAGAMENTO COM JUSTIFICATIVA"</formula>
    </cfRule>
    <cfRule type="cellIs" dxfId="149" priority="7" operator="equal">
      <formula>"EXECUÇÃO MUITO INFERIOR À PREVISÃO DE ACÚMULO PARA ESTE BM - SOLICITAR NOVO BM PARA LIBERAR PAGAMENTO"</formula>
    </cfRule>
  </conditionalFormatting>
  <conditionalFormatting sqref="B14:C14">
    <cfRule type="cellIs" dxfId="148" priority="4" operator="lessThanOrEqual">
      <formula>0</formula>
    </cfRule>
  </conditionalFormatting>
  <conditionalFormatting sqref="A14">
    <cfRule type="expression" dxfId="147" priority="3">
      <formula>$B$13&lt;=0</formula>
    </cfRule>
  </conditionalFormatting>
  <conditionalFormatting sqref="P12:P13 P15:P26">
    <cfRule type="cellIs" dxfId="146" priority="2" operator="lessThanOrEqual">
      <formula>0</formula>
    </cfRule>
  </conditionalFormatting>
  <printOptions horizontalCentered="1"/>
  <pageMargins left="0.51181102362204722" right="0.51181102362204722" top="1.1811023622047245" bottom="0.78740157480314965" header="0.31496062992125984" footer="0.31496062992125984"/>
  <pageSetup paperSize="9" orientation="landscape" horizontalDpi="4294967293" verticalDpi="4294967293" r:id="rId1"/>
  <headerFooter>
    <oddHeader>&amp;C&amp;G
Prefeitura Municipal de Restinga Sêca
- Acompanhamento de evolução de obra -</oddHeader>
    <oddFooter>&amp;CDocumento impresso em &amp;D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29"/>
  <sheetViews>
    <sheetView zoomScale="85" zoomScaleNormal="85" workbookViewId="0"/>
  </sheetViews>
  <sheetFormatPr defaultRowHeight="15"/>
  <cols>
    <col min="1" max="1" width="27" style="15" bestFit="1" customWidth="1"/>
    <col min="2" max="2" width="13.28515625" style="15" customWidth="1"/>
    <col min="3" max="3" width="15.42578125" style="15" customWidth="1"/>
    <col min="4" max="4" width="0.7109375" style="15" customWidth="1"/>
    <col min="5" max="5" width="4.140625" style="15" bestFit="1" customWidth="1"/>
    <col min="6" max="6" width="13" style="15" customWidth="1"/>
    <col min="7" max="7" width="10.7109375" style="15" bestFit="1" customWidth="1"/>
    <col min="8" max="8" width="12" style="15" bestFit="1" customWidth="1"/>
    <col min="9" max="9" width="14.42578125" style="15" bestFit="1" customWidth="1"/>
    <col min="10" max="10" width="12.5703125" style="15" bestFit="1" customWidth="1"/>
    <col min="11" max="11" width="12" style="15" bestFit="1" customWidth="1"/>
    <col min="12" max="12" width="1.85546875" style="15" customWidth="1"/>
    <col min="13" max="13" width="17.85546875" style="15" bestFit="1" customWidth="1"/>
    <col min="14" max="14" width="14.7109375" style="15" bestFit="1" customWidth="1"/>
    <col min="15" max="15" width="16.7109375" style="15" bestFit="1" customWidth="1"/>
    <col min="16" max="16" width="15.28515625" style="15" bestFit="1" customWidth="1"/>
    <col min="17" max="17" width="19.28515625" style="15" bestFit="1" customWidth="1"/>
    <col min="18" max="18" width="16" style="15" bestFit="1" customWidth="1"/>
    <col min="19" max="19" width="20" style="15" bestFit="1" customWidth="1"/>
    <col min="20" max="16384" width="9.140625" style="15"/>
  </cols>
  <sheetData>
    <row r="1" spans="1:19" ht="19.5" thickBot="1">
      <c r="A1" s="123" t="s">
        <v>98</v>
      </c>
      <c r="B1" s="326" t="s">
        <v>121</v>
      </c>
      <c r="C1" s="326"/>
      <c r="D1" s="45"/>
      <c r="E1" s="300" t="s">
        <v>131</v>
      </c>
      <c r="F1" s="300"/>
      <c r="G1" s="300"/>
      <c r="H1" s="300"/>
      <c r="I1" s="300"/>
      <c r="J1" s="300"/>
      <c r="K1" s="301"/>
      <c r="M1" s="306" t="s">
        <v>179</v>
      </c>
      <c r="N1" s="307"/>
      <c r="O1" s="307"/>
      <c r="P1" s="307"/>
      <c r="Q1" s="307"/>
      <c r="R1" s="308" t="str">
        <f>B1</f>
        <v>888.329/2019</v>
      </c>
      <c r="S1" s="309"/>
    </row>
    <row r="2" spans="1:19" ht="31.5" customHeight="1" thickBot="1">
      <c r="A2" s="48" t="s">
        <v>66</v>
      </c>
      <c r="B2" s="35">
        <v>4</v>
      </c>
      <c r="C2" s="42">
        <f>IF(B2=1,I5,IF(B2=2,I6,IF(B2=3,I7,IF(B2=4,I8,IF(B2=5,I9,IF(B2=6,I10))))))</f>
        <v>44411</v>
      </c>
      <c r="D2" s="51"/>
      <c r="E2" s="51"/>
      <c r="F2" s="50" t="s">
        <v>68</v>
      </c>
      <c r="G2" s="44">
        <f>IF(B2=1,K5-H5,IF(B2=2,K6-H6,IF(B2=3,K7-H7,IF(B2=4,K8-H8,IF(B2=5,K9-H9,IF(B2=6,K10-H10,IF(B2=7,K11-H11,IF(B2=8,K12-H12))))))))</f>
        <v>0.30959999999999999</v>
      </c>
      <c r="H2" s="282" t="str">
        <f>IF(G2&lt;=-0.0501,"EXECUÇÃO MUITO INFERIOR À PREVISÃO DE ACÚMULO PARA ESTE BM - SOLICITAR NOVO BM PARA LIBERAR PAGAMENTO",IF(G2&lt;0,"BM MENOR DO QUE O PREVISTO - MARGEM TOLERÁVEL - LIBERAR PAGAMENTO COM JUSTIFICATIVA",IF(G2&gt;=0,"BM DENTRO DO ACUMULADO PREVISTO - LIBERAR PAGAMENTO")))</f>
        <v>BM DENTRO DO ACUMULADO PREVISTO - LIBERAR PAGAMENTO</v>
      </c>
      <c r="I2" s="282"/>
      <c r="J2" s="282"/>
      <c r="K2" s="283"/>
      <c r="M2" s="125" t="s">
        <v>180</v>
      </c>
      <c r="N2" s="113" t="s">
        <v>181</v>
      </c>
      <c r="O2" s="113">
        <f>N4-S7</f>
        <v>22916.539999999979</v>
      </c>
      <c r="P2" s="114" t="s">
        <v>182</v>
      </c>
      <c r="Q2" s="127">
        <f>P4-S8</f>
        <v>0</v>
      </c>
      <c r="R2" s="128" t="s">
        <v>189</v>
      </c>
      <c r="S2" s="129">
        <f>O2+Q2</f>
        <v>22916.539999999979</v>
      </c>
    </row>
    <row r="3" spans="1:19" ht="15.75" thickBot="1">
      <c r="A3" s="37" t="s">
        <v>210</v>
      </c>
      <c r="B3" s="192" t="s">
        <v>133</v>
      </c>
      <c r="C3" s="193">
        <v>44431</v>
      </c>
      <c r="D3" s="38"/>
      <c r="E3" s="285" t="s">
        <v>64</v>
      </c>
      <c r="F3" s="286"/>
      <c r="G3" s="286"/>
      <c r="H3" s="286"/>
      <c r="I3" s="287" t="s">
        <v>65</v>
      </c>
      <c r="J3" s="287"/>
      <c r="K3" s="288"/>
      <c r="M3" s="316" t="s">
        <v>183</v>
      </c>
      <c r="N3" s="317"/>
      <c r="O3" s="317"/>
      <c r="P3" s="318"/>
      <c r="Q3" s="319" t="s">
        <v>194</v>
      </c>
      <c r="R3" s="320"/>
      <c r="S3" s="130" t="s">
        <v>184</v>
      </c>
    </row>
    <row r="4" spans="1:19" ht="15.75" thickBot="1">
      <c r="A4" s="39" t="s">
        <v>211</v>
      </c>
      <c r="B4" s="194" t="s">
        <v>203</v>
      </c>
      <c r="C4" s="216">
        <v>44401</v>
      </c>
      <c r="D4" s="38"/>
      <c r="E4" s="52" t="s">
        <v>58</v>
      </c>
      <c r="F4" s="53" t="s">
        <v>61</v>
      </c>
      <c r="G4" s="54" t="s">
        <v>59</v>
      </c>
      <c r="H4" s="54" t="s">
        <v>63</v>
      </c>
      <c r="I4" s="55" t="s">
        <v>60</v>
      </c>
      <c r="J4" s="55" t="s">
        <v>62</v>
      </c>
      <c r="K4" s="56" t="s">
        <v>63</v>
      </c>
      <c r="M4" s="131" t="s">
        <v>181</v>
      </c>
      <c r="N4" s="132">
        <f>SUM(N5:N8)</f>
        <v>382000</v>
      </c>
      <c r="O4" s="133" t="s">
        <v>182</v>
      </c>
      <c r="P4" s="134">
        <f>SUM(P5:P8)</f>
        <v>386.54</v>
      </c>
      <c r="Q4" s="135" t="s">
        <v>181</v>
      </c>
      <c r="R4" s="109">
        <v>382000</v>
      </c>
      <c r="S4" s="137">
        <f>R4-N4</f>
        <v>0</v>
      </c>
    </row>
    <row r="5" spans="1:19" ht="15.75" thickBot="1">
      <c r="A5" s="72" t="s">
        <v>86</v>
      </c>
      <c r="B5" s="291" t="s">
        <v>130</v>
      </c>
      <c r="C5" s="291"/>
      <c r="D5" s="38"/>
      <c r="E5" s="57">
        <v>1</v>
      </c>
      <c r="F5" s="58">
        <f>B10+30</f>
        <v>44071</v>
      </c>
      <c r="G5" s="59">
        <v>4.3999999999999997E-2</v>
      </c>
      <c r="H5" s="59">
        <f>G5</f>
        <v>4.3999999999999997E-2</v>
      </c>
      <c r="I5" s="60">
        <v>44141</v>
      </c>
      <c r="J5" s="61">
        <v>0.27229999999999999</v>
      </c>
      <c r="K5" s="63">
        <f>J5</f>
        <v>0.27229999999999999</v>
      </c>
      <c r="M5" s="164">
        <v>44035</v>
      </c>
      <c r="N5" s="157">
        <v>76400</v>
      </c>
      <c r="O5" s="156">
        <v>44145</v>
      </c>
      <c r="P5" s="157">
        <v>386.54</v>
      </c>
      <c r="Q5" s="142" t="s">
        <v>182</v>
      </c>
      <c r="R5" s="109">
        <v>386.54</v>
      </c>
      <c r="S5" s="117">
        <f>R5-P4</f>
        <v>0</v>
      </c>
    </row>
    <row r="6" spans="1:19" ht="15.75" thickBot="1">
      <c r="A6" s="71" t="s">
        <v>221</v>
      </c>
      <c r="B6" s="233">
        <v>359470</v>
      </c>
      <c r="C6" s="233">
        <f>250.61</f>
        <v>250.61</v>
      </c>
      <c r="D6" s="38"/>
      <c r="E6" s="57">
        <v>2</v>
      </c>
      <c r="F6" s="58">
        <f>F5+30</f>
        <v>44101</v>
      </c>
      <c r="G6" s="59">
        <v>9.4600000000000004E-2</v>
      </c>
      <c r="H6" s="59">
        <f>H5+G6</f>
        <v>0.1386</v>
      </c>
      <c r="I6" s="60">
        <v>44251</v>
      </c>
      <c r="J6" s="61">
        <v>0.29380000000000001</v>
      </c>
      <c r="K6" s="63">
        <f>K5+J6</f>
        <v>0.56610000000000005</v>
      </c>
      <c r="M6" s="164">
        <v>44158</v>
      </c>
      <c r="N6" s="157">
        <f>382000-N5</f>
        <v>305600</v>
      </c>
      <c r="O6" s="156"/>
      <c r="P6" s="157"/>
      <c r="Q6" s="143" t="s">
        <v>195</v>
      </c>
      <c r="R6" s="321" t="s">
        <v>185</v>
      </c>
      <c r="S6" s="322"/>
    </row>
    <row r="7" spans="1:19" ht="15.75" customHeight="1" thickBot="1">
      <c r="A7" s="37" t="s">
        <v>57</v>
      </c>
      <c r="B7" s="353" t="s">
        <v>111</v>
      </c>
      <c r="C7" s="353"/>
      <c r="D7" s="38"/>
      <c r="E7" s="57">
        <v>3</v>
      </c>
      <c r="F7" s="58">
        <f t="shared" ref="F7:F10" si="0">F6+30</f>
        <v>44131</v>
      </c>
      <c r="G7" s="59">
        <v>0.32350000000000001</v>
      </c>
      <c r="H7" s="59">
        <f>H6+G7</f>
        <v>0.46210000000000001</v>
      </c>
      <c r="I7" s="60">
        <v>44295</v>
      </c>
      <c r="J7" s="61">
        <v>0.16450000000000001</v>
      </c>
      <c r="K7" s="63">
        <f>K6+J7</f>
        <v>0.73060000000000003</v>
      </c>
      <c r="M7" s="122"/>
      <c r="N7" s="124"/>
      <c r="O7" s="118"/>
      <c r="P7" s="119"/>
      <c r="Q7" s="323" t="s">
        <v>199</v>
      </c>
      <c r="R7" s="115" t="s">
        <v>181</v>
      </c>
      <c r="S7" s="139">
        <f>SUM(N12:N27)</f>
        <v>359083.46</v>
      </c>
    </row>
    <row r="8" spans="1:19" ht="15.75" customHeight="1" thickBot="1">
      <c r="A8" s="209" t="s">
        <v>95</v>
      </c>
      <c r="B8" s="303">
        <v>180</v>
      </c>
      <c r="C8" s="303"/>
      <c r="D8" s="38"/>
      <c r="E8" s="57">
        <v>4</v>
      </c>
      <c r="F8" s="58">
        <f t="shared" si="0"/>
        <v>44161</v>
      </c>
      <c r="G8" s="59">
        <v>0.2283</v>
      </c>
      <c r="H8" s="59">
        <f t="shared" ref="H8:H10" si="1">H7+G8</f>
        <v>0.69040000000000001</v>
      </c>
      <c r="I8" s="60">
        <v>44411</v>
      </c>
      <c r="J8" s="61">
        <v>0.26939999999999997</v>
      </c>
      <c r="K8" s="63">
        <f>K7+J8</f>
        <v>1</v>
      </c>
      <c r="M8" s="95"/>
      <c r="N8" s="93"/>
      <c r="O8" s="93"/>
      <c r="P8" s="93"/>
      <c r="Q8" s="324"/>
      <c r="R8" s="116" t="s">
        <v>182</v>
      </c>
      <c r="S8" s="140">
        <f>SUM(O12:O27)</f>
        <v>386.54</v>
      </c>
    </row>
    <row r="9" spans="1:19" ht="15.75" thickBot="1">
      <c r="A9" s="76" t="s">
        <v>96</v>
      </c>
      <c r="B9" s="284">
        <f>90+90+30</f>
        <v>210</v>
      </c>
      <c r="C9" s="284"/>
      <c r="D9" s="38"/>
      <c r="E9" s="57">
        <v>5</v>
      </c>
      <c r="F9" s="58">
        <f t="shared" si="0"/>
        <v>44191</v>
      </c>
      <c r="G9" s="59">
        <v>0.2666</v>
      </c>
      <c r="H9" s="59">
        <f t="shared" si="1"/>
        <v>0.95700000000000007</v>
      </c>
      <c r="I9" s="60"/>
      <c r="J9" s="61"/>
      <c r="K9" s="63">
        <f t="shared" ref="K9:K10" si="2">K8+J9</f>
        <v>1</v>
      </c>
      <c r="M9" s="95"/>
      <c r="N9" s="93"/>
      <c r="O9" s="93"/>
      <c r="P9" s="93"/>
      <c r="Q9" s="93"/>
      <c r="R9" s="93"/>
      <c r="S9" s="126"/>
    </row>
    <row r="10" spans="1:19" ht="15.75" thickBot="1">
      <c r="A10" s="39" t="s">
        <v>36</v>
      </c>
      <c r="B10" s="271">
        <v>44041</v>
      </c>
      <c r="C10" s="271"/>
      <c r="D10" s="40"/>
      <c r="E10" s="57">
        <v>6</v>
      </c>
      <c r="F10" s="58">
        <f t="shared" si="0"/>
        <v>44221</v>
      </c>
      <c r="G10" s="59">
        <v>4.2999999999999997E-2</v>
      </c>
      <c r="H10" s="59">
        <f t="shared" si="1"/>
        <v>1</v>
      </c>
      <c r="I10" s="62"/>
      <c r="J10" s="61"/>
      <c r="K10" s="63">
        <f t="shared" si="2"/>
        <v>1</v>
      </c>
      <c r="M10" s="310" t="s">
        <v>186</v>
      </c>
      <c r="N10" s="311"/>
      <c r="O10" s="311"/>
      <c r="P10" s="311"/>
      <c r="Q10" s="311"/>
      <c r="R10" s="311"/>
      <c r="S10" s="312"/>
    </row>
    <row r="11" spans="1:19" ht="15.75" thickBot="1">
      <c r="A11" s="37" t="s">
        <v>69</v>
      </c>
      <c r="B11" s="272">
        <f>B10+B8+B9</f>
        <v>44431</v>
      </c>
      <c r="C11" s="272"/>
      <c r="D11" s="38"/>
      <c r="E11" s="89"/>
      <c r="F11" s="90"/>
      <c r="G11" s="91"/>
      <c r="H11" s="91"/>
      <c r="I11" s="89"/>
      <c r="J11" s="90"/>
      <c r="K11" s="96"/>
      <c r="L11" s="36"/>
      <c r="M11" s="111" t="s">
        <v>187</v>
      </c>
      <c r="N11" s="110" t="s">
        <v>181</v>
      </c>
      <c r="O11" s="110" t="s">
        <v>182</v>
      </c>
      <c r="P11" s="110" t="s">
        <v>188</v>
      </c>
      <c r="Q11" s="110" t="s">
        <v>192</v>
      </c>
      <c r="R11" s="110" t="s">
        <v>190</v>
      </c>
      <c r="S11" s="121" t="s">
        <v>191</v>
      </c>
    </row>
    <row r="12" spans="1:19" ht="15.75" thickBot="1">
      <c r="A12" s="39" t="s">
        <v>25</v>
      </c>
      <c r="B12" s="273">
        <f>IF(B2=1,K5,IF(B2=2,K6,IF(B2=3,K7,IF(B2=4,K8,IF(B2=5,K9,IF(B2=6,K10,IF(B2=7,K11,IF(B2=8,K12))))))))</f>
        <v>1</v>
      </c>
      <c r="C12" s="273"/>
      <c r="D12" s="38"/>
      <c r="E12" s="92"/>
      <c r="F12" s="90"/>
      <c r="G12" s="91"/>
      <c r="H12" s="91"/>
      <c r="I12" s="92"/>
      <c r="J12" s="90"/>
      <c r="K12" s="96"/>
      <c r="L12" s="36"/>
      <c r="M12" s="158">
        <v>44162</v>
      </c>
      <c r="N12" s="159">
        <v>97498.2</v>
      </c>
      <c r="O12" s="159">
        <v>386.54</v>
      </c>
      <c r="P12" s="120">
        <f t="shared" ref="P12:P26" si="3">N12+O12</f>
        <v>97884.739999999991</v>
      </c>
      <c r="Q12" s="166">
        <v>20200000000039</v>
      </c>
      <c r="R12" s="151">
        <v>1</v>
      </c>
      <c r="S12" s="168" t="s">
        <v>198</v>
      </c>
    </row>
    <row r="13" spans="1:19">
      <c r="A13" s="37" t="s">
        <v>67</v>
      </c>
      <c r="B13" s="46">
        <f>IF(B$2=1,2,IF(B$2=2,3,IF(B$2=3,4,IF(B$2=4,5,IF(B$2=5,6,IF(B$2=6,7,IF(B$2=7,8)))))))</f>
        <v>5</v>
      </c>
      <c r="C13" s="47">
        <f>IF(B$2=1,F$6,IF(B$2=2,F$7,IF(B$2=3,F$8,IF(B$2=4,F$9,IF(B$2=5,F$10,IF(B$2=6,F$11,IF(B$2=7,F$12)))))))</f>
        <v>44191</v>
      </c>
      <c r="D13" s="38"/>
      <c r="E13" s="93"/>
      <c r="F13" s="93"/>
      <c r="G13" s="93"/>
      <c r="H13" s="93"/>
      <c r="I13" s="93"/>
      <c r="J13" s="93"/>
      <c r="K13" s="94"/>
      <c r="M13" s="169">
        <v>44263</v>
      </c>
      <c r="N13" s="170">
        <v>105597.61</v>
      </c>
      <c r="O13" s="170">
        <v>0</v>
      </c>
      <c r="P13" s="171">
        <f t="shared" si="3"/>
        <v>105597.61</v>
      </c>
      <c r="Q13" s="172">
        <v>202100000000059</v>
      </c>
      <c r="R13" s="173">
        <v>2</v>
      </c>
      <c r="S13" s="174" t="s">
        <v>198</v>
      </c>
    </row>
    <row r="14" spans="1:19" ht="30">
      <c r="A14" s="65" t="s">
        <v>84</v>
      </c>
      <c r="B14" s="274">
        <f>IF($B$2=1,H$6-K$5,IF($B$2=2,H$7-K$6,IF($B$2=3,H$8-K$7,IF($B$2=4,H$9-K$8,IF($B$2=5,H$10-K$9,IF($B$2=6,H$11-K$10,IF($B$2=7,H$12-K$11)))))))</f>
        <v>-4.2999999999999927E-2</v>
      </c>
      <c r="C14" s="274"/>
      <c r="D14" s="41"/>
      <c r="E14" s="305" t="str">
        <f ca="1">IF(TODAY()&gt;C13,"OBRA ATRASADA","")</f>
        <v>OBRA ATRASADA</v>
      </c>
      <c r="F14" s="305"/>
      <c r="G14" s="205" t="str">
        <f ca="1">IF(TODAY()&gt;C13,"EM","")</f>
        <v>EM</v>
      </c>
      <c r="H14" s="205">
        <f ca="1">IF(TODAY()&gt;C13,TODAY()-C13,"")</f>
        <v>286</v>
      </c>
      <c r="I14" s="327" t="str">
        <f t="shared" ref="I14" ca="1" si="4">IF(TODAY()&gt;C13,"DIAS EM RELAÇÃO AO CRONOGRAMA","")</f>
        <v>DIAS EM RELAÇÃO AO CRONOGRAMA</v>
      </c>
      <c r="J14" s="327"/>
      <c r="K14" s="328"/>
      <c r="M14" s="122">
        <v>44309</v>
      </c>
      <c r="N14" s="119">
        <v>59150.39</v>
      </c>
      <c r="O14" s="119">
        <v>0</v>
      </c>
      <c r="P14" s="120">
        <f t="shared" si="3"/>
        <v>59150.39</v>
      </c>
      <c r="Q14" s="166">
        <v>202100000000066</v>
      </c>
      <c r="R14" s="151">
        <v>3</v>
      </c>
      <c r="S14" s="168" t="s">
        <v>198</v>
      </c>
    </row>
    <row r="15" spans="1:19">
      <c r="A15" s="49"/>
      <c r="B15" s="36"/>
      <c r="C15" s="36"/>
      <c r="D15" s="36"/>
      <c r="E15" s="36"/>
      <c r="F15" s="36"/>
      <c r="G15" s="36"/>
      <c r="H15" s="36"/>
      <c r="I15" s="36"/>
      <c r="J15" s="36"/>
      <c r="K15" s="64"/>
      <c r="M15" s="169"/>
      <c r="N15" s="170">
        <v>96837.26</v>
      </c>
      <c r="O15" s="170"/>
      <c r="P15" s="171">
        <f t="shared" si="3"/>
        <v>96837.26</v>
      </c>
      <c r="Q15" s="175"/>
      <c r="R15" s="175"/>
      <c r="S15" s="176"/>
    </row>
    <row r="16" spans="1:19">
      <c r="A16" s="49"/>
      <c r="B16" s="36"/>
      <c r="C16" s="36"/>
      <c r="D16" s="36"/>
      <c r="E16" s="36"/>
      <c r="F16" s="36"/>
      <c r="G16" s="36"/>
      <c r="H16" s="36"/>
      <c r="I16" s="36"/>
      <c r="J16" s="36"/>
      <c r="K16" s="64"/>
      <c r="M16" s="122"/>
      <c r="N16" s="119"/>
      <c r="O16" s="119"/>
      <c r="P16" s="120">
        <f t="shared" si="3"/>
        <v>0</v>
      </c>
      <c r="Q16" s="93"/>
      <c r="R16" s="93"/>
      <c r="S16" s="94"/>
    </row>
    <row r="17" spans="1:19" ht="15" customHeight="1">
      <c r="A17" s="330" t="s">
        <v>132</v>
      </c>
      <c r="B17" s="331"/>
      <c r="C17" s="331"/>
      <c r="D17" s="36"/>
      <c r="E17" s="36"/>
      <c r="F17" s="36"/>
      <c r="G17" s="36"/>
      <c r="H17" s="36"/>
      <c r="I17" s="191"/>
      <c r="J17" s="36"/>
      <c r="K17" s="64"/>
      <c r="M17" s="169"/>
      <c r="N17" s="170"/>
      <c r="O17" s="170"/>
      <c r="P17" s="171">
        <f t="shared" si="3"/>
        <v>0</v>
      </c>
      <c r="Q17" s="175"/>
      <c r="R17" s="175"/>
      <c r="S17" s="176"/>
    </row>
    <row r="18" spans="1:19">
      <c r="A18" s="330"/>
      <c r="B18" s="331"/>
      <c r="C18" s="331"/>
      <c r="D18" s="36"/>
      <c r="E18" s="36"/>
      <c r="F18" s="36"/>
      <c r="G18" s="36"/>
      <c r="H18" s="196"/>
      <c r="I18" s="195"/>
      <c r="J18" s="182"/>
      <c r="K18" s="183"/>
      <c r="M18" s="122"/>
      <c r="N18" s="119"/>
      <c r="O18" s="119"/>
      <c r="P18" s="120">
        <f t="shared" si="3"/>
        <v>0</v>
      </c>
      <c r="Q18" s="93"/>
      <c r="R18" s="93"/>
      <c r="S18" s="94"/>
    </row>
    <row r="19" spans="1:19">
      <c r="A19" s="330"/>
      <c r="B19" s="331"/>
      <c r="C19" s="331"/>
      <c r="D19" s="36"/>
      <c r="E19" s="36"/>
      <c r="F19" s="36"/>
      <c r="G19" s="36"/>
      <c r="H19" s="36"/>
      <c r="I19" s="36"/>
      <c r="J19" s="36"/>
      <c r="K19" s="64"/>
      <c r="M19" s="169"/>
      <c r="N19" s="170"/>
      <c r="O19" s="170"/>
      <c r="P19" s="171">
        <f t="shared" si="3"/>
        <v>0</v>
      </c>
      <c r="Q19" s="175"/>
      <c r="R19" s="175"/>
      <c r="S19" s="176"/>
    </row>
    <row r="20" spans="1:19">
      <c r="A20" s="330"/>
      <c r="B20" s="331"/>
      <c r="C20" s="331"/>
      <c r="D20" s="36"/>
      <c r="E20" s="36"/>
      <c r="F20" s="36"/>
      <c r="G20" s="36"/>
      <c r="H20" s="36"/>
      <c r="I20" s="36"/>
      <c r="J20" s="36"/>
      <c r="K20" s="64"/>
      <c r="M20" s="95"/>
      <c r="N20" s="93"/>
      <c r="O20" s="93"/>
      <c r="P20" s="120">
        <f t="shared" si="3"/>
        <v>0</v>
      </c>
      <c r="Q20" s="93"/>
      <c r="R20" s="93"/>
      <c r="S20" s="94"/>
    </row>
    <row r="21" spans="1:19">
      <c r="A21" s="330"/>
      <c r="B21" s="331"/>
      <c r="C21" s="331"/>
      <c r="D21" s="36"/>
      <c r="E21" s="36"/>
      <c r="F21" s="36"/>
      <c r="G21" s="36"/>
      <c r="H21" s="36"/>
      <c r="I21" s="36"/>
      <c r="J21" s="36"/>
      <c r="K21" s="64"/>
      <c r="M21" s="177"/>
      <c r="N21" s="175"/>
      <c r="O21" s="175"/>
      <c r="P21" s="171">
        <f t="shared" si="3"/>
        <v>0</v>
      </c>
      <c r="Q21" s="175"/>
      <c r="R21" s="175"/>
      <c r="S21" s="176"/>
    </row>
    <row r="22" spans="1:19">
      <c r="A22" s="152"/>
      <c r="B22" s="153"/>
      <c r="C22" s="153"/>
      <c r="D22" s="36"/>
      <c r="E22" s="36"/>
      <c r="F22" s="36"/>
      <c r="G22" s="36"/>
      <c r="H22" s="36"/>
      <c r="I22" s="36"/>
      <c r="J22" s="36"/>
      <c r="K22" s="64"/>
      <c r="M22" s="95"/>
      <c r="N22" s="93"/>
      <c r="O22" s="93"/>
      <c r="P22" s="120">
        <f t="shared" si="3"/>
        <v>0</v>
      </c>
      <c r="Q22" s="93"/>
      <c r="R22" s="93"/>
      <c r="S22" s="94"/>
    </row>
    <row r="23" spans="1:19">
      <c r="A23" s="332"/>
      <c r="B23" s="333"/>
      <c r="C23" s="333"/>
      <c r="D23" s="333"/>
      <c r="E23" s="333"/>
      <c r="F23" s="333"/>
      <c r="G23" s="333"/>
      <c r="H23" s="36"/>
      <c r="I23" s="36"/>
      <c r="J23" s="36"/>
      <c r="K23" s="64"/>
      <c r="M23" s="177"/>
      <c r="N23" s="175"/>
      <c r="O23" s="175"/>
      <c r="P23" s="171">
        <f t="shared" si="3"/>
        <v>0</v>
      </c>
      <c r="Q23" s="175"/>
      <c r="R23" s="175"/>
      <c r="S23" s="176"/>
    </row>
    <row r="24" spans="1:19">
      <c r="A24" s="49"/>
      <c r="B24" s="36"/>
      <c r="C24" s="36"/>
      <c r="D24" s="36"/>
      <c r="E24" s="36"/>
      <c r="F24" s="36"/>
      <c r="G24" s="36"/>
      <c r="H24" s="36"/>
      <c r="I24" s="36"/>
      <c r="J24" s="36"/>
      <c r="K24" s="64"/>
      <c r="M24" s="95"/>
      <c r="N24" s="93"/>
      <c r="O24" s="93"/>
      <c r="P24" s="120">
        <f t="shared" si="3"/>
        <v>0</v>
      </c>
      <c r="Q24" s="93"/>
      <c r="R24" s="93"/>
      <c r="S24" s="94"/>
    </row>
    <row r="25" spans="1:19">
      <c r="A25" s="49"/>
      <c r="B25" s="36"/>
      <c r="C25" s="36"/>
      <c r="D25" s="36"/>
      <c r="E25" s="36"/>
      <c r="F25" s="36"/>
      <c r="G25" s="36"/>
      <c r="H25" s="36"/>
      <c r="I25" s="36"/>
      <c r="J25" s="36"/>
      <c r="K25" s="64"/>
      <c r="M25" s="177"/>
      <c r="N25" s="175"/>
      <c r="O25" s="175"/>
      <c r="P25" s="171">
        <f t="shared" si="3"/>
        <v>0</v>
      </c>
      <c r="Q25" s="175"/>
      <c r="R25" s="175"/>
      <c r="S25" s="176"/>
    </row>
    <row r="26" spans="1:19">
      <c r="A26" s="49"/>
      <c r="B26" s="36"/>
      <c r="C26" s="36"/>
      <c r="D26" s="36"/>
      <c r="E26" s="36"/>
      <c r="F26" s="36"/>
      <c r="G26" s="36"/>
      <c r="H26" s="36"/>
      <c r="I26" s="36"/>
      <c r="J26" s="36"/>
      <c r="K26" s="64"/>
      <c r="M26" s="95"/>
      <c r="N26" s="93"/>
      <c r="O26" s="93"/>
      <c r="P26" s="120">
        <f t="shared" si="3"/>
        <v>0</v>
      </c>
      <c r="Q26" s="93"/>
      <c r="R26" s="93"/>
      <c r="S26" s="94"/>
    </row>
    <row r="27" spans="1:19">
      <c r="A27" s="281" t="s">
        <v>169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M27" s="313" t="s">
        <v>193</v>
      </c>
      <c r="N27" s="314"/>
      <c r="O27" s="314"/>
      <c r="P27" s="314"/>
      <c r="Q27" s="314"/>
      <c r="R27" s="315"/>
      <c r="S27" s="141">
        <f>SUM(P12:P26)</f>
        <v>359470</v>
      </c>
    </row>
    <row r="29" spans="1:19">
      <c r="N29" s="189"/>
    </row>
  </sheetData>
  <mergeCells count="26">
    <mergeCell ref="B10:C10"/>
    <mergeCell ref="B11:C11"/>
    <mergeCell ref="B12:C12"/>
    <mergeCell ref="A27:K27"/>
    <mergeCell ref="A17:C21"/>
    <mergeCell ref="A23:G23"/>
    <mergeCell ref="B14:C14"/>
    <mergeCell ref="E14:F14"/>
    <mergeCell ref="I14:K14"/>
    <mergeCell ref="B9:C9"/>
    <mergeCell ref="B1:C1"/>
    <mergeCell ref="E1:K1"/>
    <mergeCell ref="H2:K2"/>
    <mergeCell ref="E3:H3"/>
    <mergeCell ref="I3:K3"/>
    <mergeCell ref="B5:C5"/>
    <mergeCell ref="B7:C7"/>
    <mergeCell ref="B8:C8"/>
    <mergeCell ref="M1:Q1"/>
    <mergeCell ref="R1:S1"/>
    <mergeCell ref="M10:S10"/>
    <mergeCell ref="M27:R27"/>
    <mergeCell ref="M3:P3"/>
    <mergeCell ref="Q3:R3"/>
    <mergeCell ref="R6:S6"/>
    <mergeCell ref="Q7:Q8"/>
  </mergeCells>
  <conditionalFormatting sqref="G2">
    <cfRule type="cellIs" dxfId="145" priority="19" operator="greaterThanOrEqual">
      <formula>0</formula>
    </cfRule>
    <cfRule type="cellIs" dxfId="144" priority="20" operator="lessThan">
      <formula>0</formula>
    </cfRule>
  </conditionalFormatting>
  <conditionalFormatting sqref="E14">
    <cfRule type="containsText" dxfId="143" priority="18" operator="containsText" text="OBRA ATRASADA">
      <formula>NOT(ISERROR(SEARCH("OBRA ATRASADA",E14)))</formula>
    </cfRule>
  </conditionalFormatting>
  <conditionalFormatting sqref="H2">
    <cfRule type="cellIs" dxfId="142" priority="15" operator="equal">
      <formula>"BM DENTRO DO ACUMULADO PREVISTO - PODE SER PAGO"</formula>
    </cfRule>
    <cfRule type="cellIs" dxfId="141" priority="16" operator="equal">
      <formula>"BM MENOR DO QUE O PREVISO - MARGEM TOLERÁVEL - LIBERAR PAGAMENTO COM JUSTIFICATIVA"</formula>
    </cfRule>
    <cfRule type="cellIs" dxfId="140" priority="17" operator="equal">
      <formula>"EXECUÇÃO MUITO INFERIOR À PREVISÃO DE ACÚMULO PARA ESTE BM - AGUARDANDO NOVO BM PARA LIBERAR PAGAMENTO"</formula>
    </cfRule>
  </conditionalFormatting>
  <conditionalFormatting sqref="H2">
    <cfRule type="cellIs" dxfId="139" priority="12" operator="equal">
      <formula>"PAGAMENTO DO BM LIBERADO"</formula>
    </cfRule>
    <cfRule type="cellIs" dxfId="138" priority="13" operator="equal">
      <formula>"BM MENOR DO QUE O PREVISO - MARGEM TOLERÁVEL - LIBERAR PAGAMENTO COM JUSTIFICATIVA"</formula>
    </cfRule>
    <cfRule type="cellIs" dxfId="137" priority="14" operator="equal">
      <formula>"EXECUÇÃO MUITO INFERIOR À PREVISTA PARA ESTE BM - AGUARDANDO NOVO BM PARA LIBERAR PAGAMENTO"</formula>
    </cfRule>
  </conditionalFormatting>
  <conditionalFormatting sqref="H2">
    <cfRule type="cellIs" dxfId="136" priority="9" operator="equal">
      <formula>"BM DENTRO DO ACUMULADO PREVISTO - PODE SER PAGO"</formula>
    </cfRule>
    <cfRule type="cellIs" dxfId="135" priority="10" operator="equal">
      <formula>"BM MENOR DO QUE O PREVISO - MARGEM TOLERÁVEL - LIBERAR PAGAMENTO COM JUSTIFICATIVA"</formula>
    </cfRule>
    <cfRule type="cellIs" dxfId="134" priority="11" operator="equal">
      <formula>"EXECUÇÃO MUITO INFERIOR À PREVISÃO DE ACÚMULO PARA ESTE BM - SOLICITAR NOVO BM PARA LIBERAR PAGAMENTO"</formula>
    </cfRule>
  </conditionalFormatting>
  <conditionalFormatting sqref="C13">
    <cfRule type="expression" dxfId="133" priority="8">
      <formula>C13&lt;(TODAY())</formula>
    </cfRule>
  </conditionalFormatting>
  <conditionalFormatting sqref="H2">
    <cfRule type="cellIs" dxfId="132" priority="5" operator="equal">
      <formula>"BM DENTRO DO ACUMULADO PREVISTO - LIBERAR PAGAMENTO"</formula>
    </cfRule>
    <cfRule type="cellIs" dxfId="131" priority="6" operator="equal">
      <formula>"BM MENOR DO QUE O PREVISTO - MARGEM TOLERÁVEL - LIBERAR PAGAMENTO COM JUSTIFICATIVA"</formula>
    </cfRule>
    <cfRule type="cellIs" dxfId="130" priority="7" operator="equal">
      <formula>"EXECUÇÃO MUITO INFERIOR À PREVISÃO DE ACÚMULO PARA ESTE BM - SOLICITAR NOVO BM PARA LIBERAR PAGAMENTO"</formula>
    </cfRule>
  </conditionalFormatting>
  <conditionalFormatting sqref="B14:C14">
    <cfRule type="cellIs" dxfId="129" priority="4" operator="lessThanOrEqual">
      <formula>0</formula>
    </cfRule>
  </conditionalFormatting>
  <conditionalFormatting sqref="A14">
    <cfRule type="expression" dxfId="128" priority="3">
      <formula>$B$13&lt;=0</formula>
    </cfRule>
  </conditionalFormatting>
  <conditionalFormatting sqref="P12:P26">
    <cfRule type="cellIs" dxfId="127" priority="2" operator="lessThanOrEqual">
      <formula>0</formula>
    </cfRule>
  </conditionalFormatting>
  <conditionalFormatting sqref="B14:C14">
    <cfRule type="cellIs" dxfId="126" priority="1" operator="lessThanOrEqual">
      <formula>0</formula>
    </cfRule>
  </conditionalFormatting>
  <printOptions horizontalCentered="1"/>
  <pageMargins left="0.51181102362204722" right="0.51181102362204722" top="1.1811023622047245" bottom="0.78740157480314965" header="0.31496062992125984" footer="0.31496062992125984"/>
  <pageSetup paperSize="9" orientation="landscape" horizontalDpi="4294967293" verticalDpi="4294967293" r:id="rId1"/>
  <headerFooter>
    <oddHeader>&amp;C&amp;G
Prefeitura Municipal de Restinga Sêca
- Acompanhamento de evolução de obra -</oddHeader>
    <oddFooter>&amp;CDocumento impresso em &amp;D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7"/>
  <sheetViews>
    <sheetView zoomScale="85" zoomScaleNormal="85" workbookViewId="0"/>
  </sheetViews>
  <sheetFormatPr defaultRowHeight="15"/>
  <cols>
    <col min="1" max="1" width="27" style="15" bestFit="1" customWidth="1"/>
    <col min="2" max="2" width="13.28515625" style="15" customWidth="1"/>
    <col min="3" max="3" width="15.42578125" style="15" customWidth="1"/>
    <col min="4" max="4" width="0.7109375" style="15" customWidth="1"/>
    <col min="5" max="5" width="4.140625" style="15" bestFit="1" customWidth="1"/>
    <col min="6" max="6" width="13.7109375" style="15" bestFit="1" customWidth="1"/>
    <col min="7" max="7" width="10.7109375" style="15" bestFit="1" customWidth="1"/>
    <col min="8" max="8" width="12" style="15" bestFit="1" customWidth="1"/>
    <col min="9" max="9" width="14.42578125" style="15" bestFit="1" customWidth="1"/>
    <col min="10" max="10" width="12.5703125" style="15" bestFit="1" customWidth="1"/>
    <col min="11" max="11" width="12" style="15" bestFit="1" customWidth="1"/>
    <col min="12" max="16384" width="9.140625" style="15"/>
  </cols>
  <sheetData>
    <row r="1" spans="1:12" ht="15.75" thickBot="1">
      <c r="A1" s="43" t="s">
        <v>114</v>
      </c>
      <c r="B1" s="356" t="s">
        <v>115</v>
      </c>
      <c r="C1" s="356"/>
      <c r="D1" s="45"/>
      <c r="E1" s="300" t="s">
        <v>116</v>
      </c>
      <c r="F1" s="300"/>
      <c r="G1" s="300"/>
      <c r="H1" s="300"/>
      <c r="I1" s="300"/>
      <c r="J1" s="300"/>
      <c r="K1" s="301"/>
    </row>
    <row r="2" spans="1:12" ht="31.5" customHeight="1" thickBot="1">
      <c r="A2" s="48" t="s">
        <v>66</v>
      </c>
      <c r="B2" s="35">
        <v>4</v>
      </c>
      <c r="C2" s="42">
        <f>IF(B2=1,I5,IF(B2=2,I6,IF(B2=3,I7,IF(B2=4,I8,IF(B2=5,I9,IF(B2=6,I10))))))</f>
        <v>44372</v>
      </c>
      <c r="D2" s="51"/>
      <c r="E2" s="51"/>
      <c r="F2" s="50" t="s">
        <v>68</v>
      </c>
      <c r="G2" s="44">
        <f>IF(B2=1,K5-H5,IF(B2=2,K6-H6,IF(B2=3,K7-H7,IF(B2=4,K8-H8,IF(B2=5,K9-H9,IF(B2=6,K10-H10,IF(B2=7,K11-H11,IF(B2=8,K12-H12))))))))</f>
        <v>1.0700000000000043E-2</v>
      </c>
      <c r="H2" s="282" t="str">
        <f>IF(G2&lt;=-0.0501,"EXECUÇÃO MUITO INFERIOR À PREVISÃO DE ACÚMULO PARA ESTE BM - SOLICITAR NOVO BM PARA LIBERAR PAGAMENTO",IF(G2&lt;0,"BM MENOR DO QUE O PREVISTO - MARGEM TOLERÁVEL - LIBERAR PAGAMENTO COM JUSTIFICATIVA",IF(G2&gt;=0,"BM DENTRO DO ACUMULADO PREVISTO - LIBERAR PAGAMENTO")))</f>
        <v>BM DENTRO DO ACUMULADO PREVISTO - LIBERAR PAGAMENTO</v>
      </c>
      <c r="I2" s="282"/>
      <c r="J2" s="282"/>
      <c r="K2" s="283"/>
    </row>
    <row r="3" spans="1:12" ht="15.75" thickBot="1">
      <c r="A3" s="37" t="s">
        <v>210</v>
      </c>
      <c r="B3" s="192" t="s">
        <v>117</v>
      </c>
      <c r="C3" s="193">
        <f>B11</f>
        <v>44553</v>
      </c>
      <c r="D3" s="38"/>
      <c r="E3" s="285" t="s">
        <v>64</v>
      </c>
      <c r="F3" s="286"/>
      <c r="G3" s="286"/>
      <c r="H3" s="286"/>
      <c r="I3" s="287" t="s">
        <v>65</v>
      </c>
      <c r="J3" s="287"/>
      <c r="K3" s="288"/>
    </row>
    <row r="4" spans="1:12" ht="15.75" thickBot="1">
      <c r="A4" s="39" t="s">
        <v>211</v>
      </c>
      <c r="B4" s="194" t="s">
        <v>204</v>
      </c>
      <c r="C4" s="211">
        <f>B6*5%</f>
        <v>54993.859499999999</v>
      </c>
      <c r="D4" s="38"/>
      <c r="E4" s="52" t="s">
        <v>58</v>
      </c>
      <c r="F4" s="53" t="s">
        <v>61</v>
      </c>
      <c r="G4" s="54" t="s">
        <v>59</v>
      </c>
      <c r="H4" s="54" t="s">
        <v>63</v>
      </c>
      <c r="I4" s="55" t="s">
        <v>60</v>
      </c>
      <c r="J4" s="55" t="s">
        <v>62</v>
      </c>
      <c r="K4" s="56" t="s">
        <v>63</v>
      </c>
    </row>
    <row r="5" spans="1:12" ht="15.75" thickBot="1">
      <c r="A5" s="72" t="s">
        <v>86</v>
      </c>
      <c r="B5" s="291" t="s">
        <v>118</v>
      </c>
      <c r="C5" s="291"/>
      <c r="D5" s="38"/>
      <c r="E5" s="57">
        <v>1</v>
      </c>
      <c r="F5" s="58">
        <f>B10+30</f>
        <v>44041</v>
      </c>
      <c r="G5" s="59">
        <v>0.1515</v>
      </c>
      <c r="H5" s="59">
        <f>G5</f>
        <v>0.1515</v>
      </c>
      <c r="I5" s="60">
        <v>44048</v>
      </c>
      <c r="J5" s="61">
        <v>0.17269999999999999</v>
      </c>
      <c r="K5" s="63">
        <f>J5</f>
        <v>0.17269999999999999</v>
      </c>
    </row>
    <row r="6" spans="1:12" ht="15.75" thickBot="1">
      <c r="A6" s="71" t="s">
        <v>221</v>
      </c>
      <c r="B6" s="233">
        <v>1099877.19</v>
      </c>
      <c r="C6" s="233">
        <f>205898.47</f>
        <v>205898.47</v>
      </c>
      <c r="D6" s="38"/>
      <c r="E6" s="57">
        <v>2</v>
      </c>
      <c r="F6" s="58">
        <f>F5+30</f>
        <v>44071</v>
      </c>
      <c r="G6" s="59">
        <v>0.1419</v>
      </c>
      <c r="H6" s="59">
        <f>H5+G6</f>
        <v>0.29339999999999999</v>
      </c>
      <c r="I6" s="60">
        <v>44229</v>
      </c>
      <c r="J6" s="61">
        <v>0.27279999999999999</v>
      </c>
      <c r="K6" s="63">
        <f>K5+J6</f>
        <v>0.44550000000000001</v>
      </c>
    </row>
    <row r="7" spans="1:12" ht="15.75" customHeight="1" thickBot="1">
      <c r="A7" s="37" t="s">
        <v>57</v>
      </c>
      <c r="B7" s="353" t="s">
        <v>101</v>
      </c>
      <c r="C7" s="353"/>
      <c r="D7" s="38"/>
      <c r="E7" s="57">
        <v>3</v>
      </c>
      <c r="F7" s="58">
        <f t="shared" ref="F7:F10" si="0">F6+30</f>
        <v>44101</v>
      </c>
      <c r="G7" s="59">
        <v>0.1779</v>
      </c>
      <c r="H7" s="59">
        <f>H6+G7</f>
        <v>0.4713</v>
      </c>
      <c r="I7" s="60">
        <v>44305</v>
      </c>
      <c r="J7" s="61">
        <v>8.6300000000000002E-2</v>
      </c>
      <c r="K7" s="63">
        <f>K6+J7</f>
        <v>0.53180000000000005</v>
      </c>
    </row>
    <row r="8" spans="1:12" ht="15.75" customHeight="1" thickBot="1">
      <c r="A8" s="209" t="s">
        <v>95</v>
      </c>
      <c r="B8" s="303">
        <v>180</v>
      </c>
      <c r="C8" s="303"/>
      <c r="D8" s="38"/>
      <c r="E8" s="57">
        <v>4</v>
      </c>
      <c r="F8" s="58">
        <f t="shared" si="0"/>
        <v>44131</v>
      </c>
      <c r="G8" s="59">
        <v>0.2009</v>
      </c>
      <c r="H8" s="59">
        <f t="shared" ref="H8:H10" si="1">H7+G8</f>
        <v>0.67220000000000002</v>
      </c>
      <c r="I8" s="60">
        <v>44372</v>
      </c>
      <c r="J8" s="61">
        <v>0.15110000000000001</v>
      </c>
      <c r="K8" s="63">
        <f>K7+J8</f>
        <v>0.68290000000000006</v>
      </c>
    </row>
    <row r="9" spans="1:12" ht="15.75" thickBot="1">
      <c r="A9" s="76" t="s">
        <v>96</v>
      </c>
      <c r="B9" s="284">
        <f>120+62+90+90</f>
        <v>362</v>
      </c>
      <c r="C9" s="284"/>
      <c r="D9" s="38"/>
      <c r="E9" s="57">
        <v>5</v>
      </c>
      <c r="F9" s="58">
        <f t="shared" si="0"/>
        <v>44161</v>
      </c>
      <c r="G9" s="59">
        <v>0.1762</v>
      </c>
      <c r="H9" s="59">
        <f t="shared" si="1"/>
        <v>0.84840000000000004</v>
      </c>
      <c r="I9" s="60"/>
      <c r="J9" s="61"/>
      <c r="K9" s="63">
        <f t="shared" ref="K9:K10" si="2">K8+J9</f>
        <v>0.68290000000000006</v>
      </c>
    </row>
    <row r="10" spans="1:12" ht="15.75" thickBot="1">
      <c r="A10" s="39" t="s">
        <v>36</v>
      </c>
      <c r="B10" s="271">
        <v>44011</v>
      </c>
      <c r="C10" s="271"/>
      <c r="D10" s="40"/>
      <c r="E10" s="57">
        <v>6</v>
      </c>
      <c r="F10" s="58">
        <f t="shared" si="0"/>
        <v>44191</v>
      </c>
      <c r="G10" s="59">
        <v>0.15160000000000001</v>
      </c>
      <c r="H10" s="59">
        <f t="shared" si="1"/>
        <v>1</v>
      </c>
      <c r="I10" s="62"/>
      <c r="J10" s="61"/>
      <c r="K10" s="63">
        <f t="shared" si="2"/>
        <v>0.68290000000000006</v>
      </c>
    </row>
    <row r="11" spans="1:12" ht="15.75" thickBot="1">
      <c r="A11" s="37" t="s">
        <v>69</v>
      </c>
      <c r="B11" s="272">
        <f>B10+B8+B9</f>
        <v>44553</v>
      </c>
      <c r="C11" s="272"/>
      <c r="D11" s="38"/>
      <c r="E11" s="89"/>
      <c r="F11" s="90"/>
      <c r="G11" s="91"/>
      <c r="H11" s="91"/>
      <c r="I11" s="89"/>
      <c r="J11" s="90"/>
      <c r="K11" s="96"/>
      <c r="L11" s="49"/>
    </row>
    <row r="12" spans="1:12" ht="15.75" thickBot="1">
      <c r="A12" s="39" t="s">
        <v>25</v>
      </c>
      <c r="B12" s="273">
        <f>IF(B2=1,K5,IF(B2=2,K6,IF(B2=3,K7,IF(B2=4,K8,IF(B2=5,K9,IF(B2=6,K10,IF(B2=7,K11,IF(B2=8,K12))))))))</f>
        <v>0.68290000000000006</v>
      </c>
      <c r="C12" s="273"/>
      <c r="D12" s="38"/>
      <c r="E12" s="92"/>
      <c r="F12" s="90"/>
      <c r="G12" s="91"/>
      <c r="H12" s="91"/>
      <c r="I12" s="92"/>
      <c r="J12" s="90"/>
      <c r="K12" s="96"/>
      <c r="L12" s="49"/>
    </row>
    <row r="13" spans="1:12">
      <c r="A13" s="37" t="s">
        <v>67</v>
      </c>
      <c r="B13" s="46">
        <f>IF(B$2=1,2,IF(B$2=2,3,IF(B$2=3,4,IF(B$2=4,5,IF(B$2=5,6,IF(B$2=6,7,IF(B$2=7,8)))))))</f>
        <v>5</v>
      </c>
      <c r="C13" s="47">
        <f>IF(B$2=1,F$6,IF(B$2=2,F$7,IF(B$2=3,F$8,IF(B$2=4,F$9,IF(B$2=5,F$10,IF(B$2=6,F$11,IF(B$2=7,F$12)))))))</f>
        <v>44161</v>
      </c>
      <c r="D13" s="38"/>
      <c r="E13" s="93"/>
      <c r="F13" s="93"/>
      <c r="G13" s="93"/>
      <c r="H13" s="93"/>
      <c r="I13" s="93"/>
      <c r="J13" s="93"/>
      <c r="K13" s="94"/>
    </row>
    <row r="14" spans="1:12" ht="30">
      <c r="A14" s="65" t="s">
        <v>84</v>
      </c>
      <c r="B14" s="274">
        <f>IF($B$2=1,H$6-K$5,IF($B$2=2,H$7-K$6,IF($B$2=3,H$8-K$7,IF($B$2=4,H$9-K$8,IF($B$2=5,H$10-K$9,IF($B$2=6,H$11-K$10,IF($B$2=7,H$12-K$11)))))))</f>
        <v>0.16549999999999998</v>
      </c>
      <c r="C14" s="274"/>
      <c r="D14" s="41"/>
      <c r="E14" s="305" t="str">
        <f ca="1">IF(TODAY()&gt;C13,"OBRA ATRASADA","")</f>
        <v>OBRA ATRASADA</v>
      </c>
      <c r="F14" s="305"/>
      <c r="G14" s="97" t="str">
        <f ca="1">IF(TODAY()&gt;C13,"EM","")</f>
        <v>EM</v>
      </c>
      <c r="H14" s="97">
        <f ca="1">IF(TODAY()&gt;C13,TODAY()-C13,"")</f>
        <v>316</v>
      </c>
      <c r="I14" s="327" t="str">
        <f t="shared" ref="I14" ca="1" si="3">IF(TODAY()&gt;C13,"DIAS EM RELAÇÃO AO CRONOGRAMA","")</f>
        <v>DIAS EM RELAÇÃO AO CRONOGRAMA</v>
      </c>
      <c r="J14" s="327"/>
      <c r="K14" s="328"/>
    </row>
    <row r="16" spans="1:12" ht="15" customHeight="1">
      <c r="A16" s="280" t="s">
        <v>113</v>
      </c>
      <c r="B16" s="280"/>
      <c r="C16" s="280"/>
    </row>
    <row r="17" spans="1:11">
      <c r="A17" s="280"/>
      <c r="B17" s="280"/>
      <c r="C17" s="280"/>
      <c r="I17" s="217"/>
      <c r="J17" s="217"/>
    </row>
    <row r="18" spans="1:11">
      <c r="A18" s="280"/>
      <c r="B18" s="280"/>
      <c r="C18" s="280"/>
    </row>
    <row r="19" spans="1:11">
      <c r="A19" s="280"/>
      <c r="B19" s="280"/>
      <c r="C19" s="280"/>
    </row>
    <row r="20" spans="1:11">
      <c r="A20" s="280"/>
      <c r="B20" s="280"/>
      <c r="C20" s="280"/>
    </row>
    <row r="21" spans="1:11">
      <c r="A21" s="280"/>
      <c r="B21" s="280"/>
      <c r="C21" s="280"/>
    </row>
    <row r="22" spans="1:11">
      <c r="A22" s="74"/>
      <c r="B22" s="74"/>
      <c r="C22" s="74"/>
    </row>
    <row r="23" spans="1:11">
      <c r="A23" s="253" t="s">
        <v>139</v>
      </c>
      <c r="B23" s="359"/>
      <c r="C23" s="359"/>
      <c r="D23" s="359"/>
      <c r="E23" s="359"/>
      <c r="F23" s="359"/>
      <c r="G23" s="254"/>
    </row>
    <row r="24" spans="1:11">
      <c r="A24" s="357">
        <v>44056</v>
      </c>
      <c r="B24" s="247" t="s">
        <v>165</v>
      </c>
      <c r="C24" s="248"/>
      <c r="D24" s="248"/>
      <c r="E24" s="248"/>
      <c r="F24" s="248"/>
      <c r="G24" s="249"/>
    </row>
    <row r="25" spans="1:11">
      <c r="A25" s="358"/>
      <c r="B25" s="247" t="s">
        <v>166</v>
      </c>
      <c r="C25" s="248"/>
      <c r="D25" s="248"/>
      <c r="E25" s="248"/>
      <c r="F25" s="248"/>
      <c r="G25" s="249"/>
    </row>
    <row r="27" spans="1:11">
      <c r="A27" s="281" t="s">
        <v>168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</row>
  </sheetData>
  <mergeCells count="21">
    <mergeCell ref="B24:G24"/>
    <mergeCell ref="E14:F14"/>
    <mergeCell ref="B25:G25"/>
    <mergeCell ref="A24:A25"/>
    <mergeCell ref="A27:K27"/>
    <mergeCell ref="A23:G23"/>
    <mergeCell ref="A16:C21"/>
    <mergeCell ref="I14:K14"/>
    <mergeCell ref="B10:C10"/>
    <mergeCell ref="B11:C11"/>
    <mergeCell ref="B14:C14"/>
    <mergeCell ref="B1:C1"/>
    <mergeCell ref="B5:C5"/>
    <mergeCell ref="B7:C7"/>
    <mergeCell ref="B8:C8"/>
    <mergeCell ref="B12:C12"/>
    <mergeCell ref="E1:K1"/>
    <mergeCell ref="H2:K2"/>
    <mergeCell ref="E3:H3"/>
    <mergeCell ref="I3:K3"/>
    <mergeCell ref="B9:C9"/>
  </mergeCells>
  <conditionalFormatting sqref="G2">
    <cfRule type="cellIs" dxfId="125" priority="17" operator="greaterThanOrEqual">
      <formula>0</formula>
    </cfRule>
    <cfRule type="cellIs" dxfId="124" priority="18" operator="lessThan">
      <formula>0</formula>
    </cfRule>
  </conditionalFormatting>
  <conditionalFormatting sqref="E14">
    <cfRule type="containsText" dxfId="123" priority="16" operator="containsText" text="OBRA ATRASADA">
      <formula>NOT(ISERROR(SEARCH("OBRA ATRASADA",E14)))</formula>
    </cfRule>
  </conditionalFormatting>
  <conditionalFormatting sqref="H2">
    <cfRule type="cellIs" dxfId="122" priority="13" operator="equal">
      <formula>"BM DENTRO DO ACUMULADO PREVISTO - PODE SER PAGO"</formula>
    </cfRule>
    <cfRule type="cellIs" dxfId="121" priority="14" operator="equal">
      <formula>"BM MENOR DO QUE O PREVISO - MARGEM TOLERÁVEL - LIBERAR PAGAMENTO COM JUSTIFICATIVA"</formula>
    </cfRule>
    <cfRule type="cellIs" dxfId="120" priority="15" operator="equal">
      <formula>"EXECUÇÃO MUITO INFERIOR À PREVISÃO DE ACÚMULO PARA ESTE BM - AGUARDANDO NOVO BM PARA LIBERAR PAGAMENTO"</formula>
    </cfRule>
  </conditionalFormatting>
  <conditionalFormatting sqref="H2">
    <cfRule type="cellIs" dxfId="119" priority="10" operator="equal">
      <formula>"PAGAMENTO DO BM LIBERADO"</formula>
    </cfRule>
    <cfRule type="cellIs" dxfId="118" priority="11" operator="equal">
      <formula>"BM MENOR DO QUE O PREVISO - MARGEM TOLERÁVEL - LIBERAR PAGAMENTO COM JUSTIFICATIVA"</formula>
    </cfRule>
    <cfRule type="cellIs" dxfId="117" priority="12" operator="equal">
      <formula>"EXECUÇÃO MUITO INFERIOR À PREVISTA PARA ESTE BM - AGUARDANDO NOVO BM PARA LIBERAR PAGAMENTO"</formula>
    </cfRule>
  </conditionalFormatting>
  <conditionalFormatting sqref="H2">
    <cfRule type="cellIs" dxfId="116" priority="7" operator="equal">
      <formula>"BM DENTRO DO ACUMULADO PREVISTO - PODE SER PAGO"</formula>
    </cfRule>
    <cfRule type="cellIs" dxfId="115" priority="8" operator="equal">
      <formula>"BM MENOR DO QUE O PREVISO - MARGEM TOLERÁVEL - LIBERAR PAGAMENTO COM JUSTIFICATIVA"</formula>
    </cfRule>
    <cfRule type="cellIs" dxfId="114" priority="9" operator="equal">
      <formula>"EXECUÇÃO MUITO INFERIOR À PREVISÃO DE ACÚMULO PARA ESTE BM - SOLICITAR NOVO BM PARA LIBERAR PAGAMENTO"</formula>
    </cfRule>
  </conditionalFormatting>
  <conditionalFormatting sqref="C13">
    <cfRule type="expression" dxfId="113" priority="6">
      <formula>C13&lt;(TODAY())</formula>
    </cfRule>
  </conditionalFormatting>
  <conditionalFormatting sqref="H2">
    <cfRule type="cellIs" dxfId="112" priority="3" operator="equal">
      <formula>"BM DENTRO DO ACUMULADO PREVISTO - LIBERAR PAGAMENTO"</formula>
    </cfRule>
    <cfRule type="cellIs" dxfId="111" priority="4" operator="equal">
      <formula>"BM MENOR DO QUE O PREVISTO - MARGEM TOLERÁVEL - LIBERAR PAGAMENTO COM JUSTIFICATIVA"</formula>
    </cfRule>
    <cfRule type="cellIs" dxfId="110" priority="5" operator="equal">
      <formula>"EXECUÇÃO MUITO INFERIOR À PREVISÃO DE ACÚMULO PARA ESTE BM - SOLICITAR NOVO BM PARA LIBERAR PAGAMENTO"</formula>
    </cfRule>
  </conditionalFormatting>
  <conditionalFormatting sqref="B14:C14">
    <cfRule type="cellIs" dxfId="109" priority="2" operator="lessThanOrEqual">
      <formula>0</formula>
    </cfRule>
  </conditionalFormatting>
  <conditionalFormatting sqref="A14">
    <cfRule type="expression" dxfId="108" priority="1">
      <formula>$B$13&lt;=0</formula>
    </cfRule>
  </conditionalFormatting>
  <pageMargins left="0.51181102362204722" right="0.51181102362204722" top="1.1811023622047245" bottom="0.78740157480314965" header="0.31496062992125984" footer="0.31496062992125984"/>
  <pageSetup paperSize="9" orientation="landscape" horizontalDpi="4294967293" verticalDpi="4294967293" r:id="rId1"/>
  <headerFooter>
    <oddHeader>&amp;C&amp;G
Prefeitura Municipal de Restinga Sêca
- Acompanhamento de evolução de obra -</oddHeader>
    <oddFooter>&amp;CDocumento impresso em &amp;D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ANTIGOS</vt:lpstr>
      <vt:lpstr>ENCERRADOS</vt:lpstr>
      <vt:lpstr>FPE 164-2018</vt:lpstr>
      <vt:lpstr>881873</vt:lpstr>
      <vt:lpstr>878460</vt:lpstr>
      <vt:lpstr>885736</vt:lpstr>
      <vt:lpstr>889314</vt:lpstr>
      <vt:lpstr>888329</vt:lpstr>
      <vt:lpstr>FINISA 01</vt:lpstr>
      <vt:lpstr>FINISA 02</vt:lpstr>
      <vt:lpstr>FINISA 03</vt:lpstr>
      <vt:lpstr>FINISA 04</vt:lpstr>
      <vt:lpstr>FINISA 05</vt:lpstr>
      <vt:lpstr>FINISA 06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2021-10-05T12:11:37Z</cp:lastPrinted>
  <dcterms:created xsi:type="dcterms:W3CDTF">2017-04-10T18:19:08Z</dcterms:created>
  <dcterms:modified xsi:type="dcterms:W3CDTF">2021-10-08T17:26:29Z</dcterms:modified>
</cp:coreProperties>
</file>